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lisha\Documents\IO\Module 8\Project\Tools\Business Models\"/>
    </mc:Choice>
  </mc:AlternateContent>
  <bookViews>
    <workbookView xWindow="0" yWindow="0" windowWidth="23040" windowHeight="9384"/>
  </bookViews>
  <sheets>
    <sheet name="Start, jaar 1 en 2" sheetId="1" r:id="rId1"/>
    <sheet name="Jaar 3 en 4" sheetId="3" r:id="rId2"/>
    <sheet name="Jaar 5" sheetId="2" r:id="rId3"/>
    <sheet name="25 station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5" i="1" l="1"/>
  <c r="H44" i="4"/>
  <c r="H44" i="2"/>
  <c r="V45" i="3"/>
  <c r="N45" i="3"/>
  <c r="G45" i="1"/>
  <c r="N45" i="1"/>
  <c r="F54" i="4"/>
  <c r="H54" i="4" s="1"/>
  <c r="F53" i="4"/>
  <c r="H53" i="4" s="1"/>
  <c r="H40" i="4"/>
  <c r="H68" i="4" s="1"/>
  <c r="H39" i="4"/>
  <c r="H67" i="4" s="1"/>
  <c r="F36" i="4"/>
  <c r="F55" i="4" s="1"/>
  <c r="H55" i="4" s="1"/>
  <c r="F35" i="4"/>
  <c r="H35" i="4" s="1"/>
  <c r="F34" i="4"/>
  <c r="H34" i="4" s="1"/>
  <c r="F33" i="4"/>
  <c r="H33" i="4" s="1"/>
  <c r="H26" i="4"/>
  <c r="H25" i="4"/>
  <c r="H22" i="4"/>
  <c r="H21" i="4"/>
  <c r="H20" i="4"/>
  <c r="D18" i="4"/>
  <c r="H18" i="4" s="1"/>
  <c r="H15" i="4"/>
  <c r="H14" i="4"/>
  <c r="H13" i="4"/>
  <c r="H5" i="4"/>
  <c r="H68" i="2"/>
  <c r="H67" i="2"/>
  <c r="D18" i="2"/>
  <c r="G15" i="3"/>
  <c r="G16" i="3"/>
  <c r="D19" i="3"/>
  <c r="G19" i="3" s="1"/>
  <c r="G26" i="3"/>
  <c r="G27" i="3"/>
  <c r="F34" i="3"/>
  <c r="G34" i="3"/>
  <c r="F35" i="3"/>
  <c r="G35" i="3" s="1"/>
  <c r="F36" i="3"/>
  <c r="G36" i="3" s="1"/>
  <c r="F37" i="3"/>
  <c r="G37" i="3" s="1"/>
  <c r="F53" i="3"/>
  <c r="G53" i="3" s="1"/>
  <c r="F56" i="3"/>
  <c r="G56" i="3" s="1"/>
  <c r="G43" i="3" s="1"/>
  <c r="S19" i="3"/>
  <c r="V19" i="3" s="1"/>
  <c r="V8" i="3"/>
  <c r="V6" i="3"/>
  <c r="N68" i="3"/>
  <c r="N67" i="3"/>
  <c r="V41" i="3"/>
  <c r="N41" i="3"/>
  <c r="V40" i="3"/>
  <c r="N40" i="3"/>
  <c r="U37" i="3"/>
  <c r="V37" i="3" s="1"/>
  <c r="M37" i="3"/>
  <c r="N37" i="3" s="1"/>
  <c r="U36" i="3"/>
  <c r="V36" i="3" s="1"/>
  <c r="M36" i="3"/>
  <c r="M55" i="3" s="1"/>
  <c r="N55" i="3" s="1"/>
  <c r="U35" i="3"/>
  <c r="V35" i="3" s="1"/>
  <c r="M35" i="3"/>
  <c r="N35" i="3" s="1"/>
  <c r="U34" i="3"/>
  <c r="V34" i="3" s="1"/>
  <c r="M34" i="3"/>
  <c r="N34" i="3" s="1"/>
  <c r="V30" i="3"/>
  <c r="N30" i="3"/>
  <c r="V27" i="3"/>
  <c r="N27" i="3"/>
  <c r="V26" i="3"/>
  <c r="N26" i="3"/>
  <c r="V23" i="3"/>
  <c r="N23" i="3"/>
  <c r="V22" i="3"/>
  <c r="N22" i="3"/>
  <c r="V21" i="3"/>
  <c r="N21" i="3"/>
  <c r="K19" i="3"/>
  <c r="N19" i="3" s="1"/>
  <c r="V16" i="3"/>
  <c r="N16" i="3"/>
  <c r="V15" i="3"/>
  <c r="N15" i="3"/>
  <c r="N6" i="3"/>
  <c r="V68" i="1"/>
  <c r="V67" i="1"/>
  <c r="N68" i="1"/>
  <c r="N67" i="1"/>
  <c r="V40" i="1"/>
  <c r="V30" i="1"/>
  <c r="V23" i="1"/>
  <c r="N23" i="1"/>
  <c r="U53" i="1"/>
  <c r="V53" i="1" s="1"/>
  <c r="V41" i="1"/>
  <c r="U37" i="1"/>
  <c r="V37" i="1" s="1"/>
  <c r="U36" i="1"/>
  <c r="U55" i="1" s="1"/>
  <c r="V55" i="1" s="1"/>
  <c r="U35" i="1"/>
  <c r="U54" i="1" s="1"/>
  <c r="V54" i="1" s="1"/>
  <c r="U34" i="1"/>
  <c r="V34" i="1" s="1"/>
  <c r="V27" i="1"/>
  <c r="V26" i="1"/>
  <c r="V22" i="1"/>
  <c r="V21" i="1"/>
  <c r="V19" i="1"/>
  <c r="S19" i="1"/>
  <c r="V16" i="1"/>
  <c r="V15" i="1"/>
  <c r="V8" i="1"/>
  <c r="V6" i="1"/>
  <c r="H21" i="2"/>
  <c r="H20" i="2"/>
  <c r="N22" i="1"/>
  <c r="N21" i="1"/>
  <c r="F52" i="4" l="1"/>
  <c r="H52" i="4" s="1"/>
  <c r="H60" i="4" s="1"/>
  <c r="P55" i="4"/>
  <c r="H42" i="4"/>
  <c r="H36" i="4"/>
  <c r="V68" i="3"/>
  <c r="F55" i="3"/>
  <c r="G55" i="3" s="1"/>
  <c r="F54" i="3"/>
  <c r="G54" i="3" s="1"/>
  <c r="G60" i="3" s="1"/>
  <c r="V67" i="3"/>
  <c r="U53" i="3"/>
  <c r="V53" i="3" s="1"/>
  <c r="M56" i="3"/>
  <c r="N56" i="3" s="1"/>
  <c r="N43" i="3" s="1"/>
  <c r="U56" i="3"/>
  <c r="V56" i="3" s="1"/>
  <c r="V43" i="3" s="1"/>
  <c r="N36" i="3"/>
  <c r="M54" i="3"/>
  <c r="N54" i="3" s="1"/>
  <c r="U55" i="3"/>
  <c r="V55" i="3" s="1"/>
  <c r="M53" i="3"/>
  <c r="N53" i="3" s="1"/>
  <c r="U54" i="3"/>
  <c r="V54" i="3" s="1"/>
  <c r="U56" i="1"/>
  <c r="V56" i="1" s="1"/>
  <c r="V43" i="1" s="1"/>
  <c r="V60" i="1"/>
  <c r="V35" i="1"/>
  <c r="V36" i="1"/>
  <c r="N41" i="1"/>
  <c r="H40" i="2"/>
  <c r="H39" i="2"/>
  <c r="H22" i="2"/>
  <c r="H15" i="2"/>
  <c r="H14" i="2"/>
  <c r="H13" i="2"/>
  <c r="H37" i="4" l="1"/>
  <c r="H46" i="4" s="1"/>
  <c r="H47" i="4" s="1"/>
  <c r="G65" i="3"/>
  <c r="G38" i="3"/>
  <c r="G47" i="3" s="1"/>
  <c r="G48" i="3" s="1"/>
  <c r="V60" i="3"/>
  <c r="N60" i="3"/>
  <c r="V38" i="1"/>
  <c r="V47" i="1" s="1"/>
  <c r="V48" i="1" s="1"/>
  <c r="H5" i="2"/>
  <c r="F36" i="2"/>
  <c r="F55" i="2" s="1"/>
  <c r="H55" i="2" s="1"/>
  <c r="F35" i="2"/>
  <c r="H35" i="2" s="1"/>
  <c r="F34" i="2"/>
  <c r="F53" i="2" s="1"/>
  <c r="H53" i="2" s="1"/>
  <c r="F33" i="2"/>
  <c r="F52" i="2" s="1"/>
  <c r="H52" i="2" s="1"/>
  <c r="H26" i="2"/>
  <c r="H25" i="2"/>
  <c r="H18" i="2"/>
  <c r="N40" i="1"/>
  <c r="M37" i="1"/>
  <c r="N37" i="1" s="1"/>
  <c r="M36" i="1"/>
  <c r="M55" i="1" s="1"/>
  <c r="N55" i="1" s="1"/>
  <c r="M35" i="1"/>
  <c r="N35" i="1" s="1"/>
  <c r="M34" i="1"/>
  <c r="N34" i="1" s="1"/>
  <c r="N30" i="1"/>
  <c r="N27" i="1"/>
  <c r="N26" i="1"/>
  <c r="K19" i="1"/>
  <c r="N19" i="1" s="1"/>
  <c r="N15" i="1"/>
  <c r="N16" i="1"/>
  <c r="N8" i="1"/>
  <c r="N6" i="1"/>
  <c r="F37" i="1"/>
  <c r="F56" i="1" s="1"/>
  <c r="G56" i="1" s="1"/>
  <c r="G43" i="1" s="1"/>
  <c r="F36" i="1"/>
  <c r="F55" i="1" s="1"/>
  <c r="G55" i="1" s="1"/>
  <c r="F35" i="1"/>
  <c r="G35" i="1" s="1"/>
  <c r="F34" i="1"/>
  <c r="G34" i="1" s="1"/>
  <c r="G27" i="1"/>
  <c r="G26" i="1"/>
  <c r="G16" i="1"/>
  <c r="D19" i="1"/>
  <c r="G19" i="1" s="1"/>
  <c r="G15" i="1"/>
  <c r="H65" i="4" l="1"/>
  <c r="H70" i="4" s="1"/>
  <c r="F54" i="2"/>
  <c r="H54" i="2" s="1"/>
  <c r="V38" i="3"/>
  <c r="V47" i="3" s="1"/>
  <c r="V48" i="3" s="1"/>
  <c r="N38" i="3"/>
  <c r="N47" i="3" s="1"/>
  <c r="N48" i="3" s="1"/>
  <c r="V65" i="1"/>
  <c r="V71" i="1" s="1"/>
  <c r="H42" i="2"/>
  <c r="P55" i="2"/>
  <c r="N36" i="1"/>
  <c r="G37" i="1"/>
  <c r="M56" i="1"/>
  <c r="N56" i="1" s="1"/>
  <c r="N43" i="1" s="1"/>
  <c r="G36" i="1"/>
  <c r="F53" i="1"/>
  <c r="G53" i="1" s="1"/>
  <c r="F54" i="1"/>
  <c r="G54" i="1" s="1"/>
  <c r="M53" i="1"/>
  <c r="N53" i="1" s="1"/>
  <c r="M54" i="1"/>
  <c r="N54" i="1" s="1"/>
  <c r="H46" i="2"/>
  <c r="H60" i="2"/>
  <c r="H37" i="2" s="1"/>
  <c r="H36" i="2"/>
  <c r="H33" i="2"/>
  <c r="H34" i="2"/>
  <c r="V65" i="3" l="1"/>
  <c r="V71" i="3" s="1"/>
  <c r="N65" i="3"/>
  <c r="N71" i="3" s="1"/>
  <c r="G60" i="1"/>
  <c r="N60" i="1"/>
  <c r="H47" i="2"/>
  <c r="H65" i="2"/>
  <c r="H70" i="2" s="1"/>
  <c r="G38" i="1" l="1"/>
  <c r="N38" i="1"/>
  <c r="N47" i="1" s="1"/>
  <c r="N48" i="1" s="1"/>
  <c r="N65" i="1" l="1"/>
  <c r="N71" i="1" s="1"/>
  <c r="G47" i="1"/>
  <c r="G48" i="1" s="1"/>
  <c r="G65" i="1" l="1"/>
</calcChain>
</file>

<file path=xl/sharedStrings.xml><?xml version="1.0" encoding="utf-8"?>
<sst xmlns="http://schemas.openxmlformats.org/spreadsheetml/2006/main" count="397" uniqueCount="81">
  <si>
    <t>Overall costs</t>
  </si>
  <si>
    <t>Start</t>
  </si>
  <si>
    <t>Machine</t>
  </si>
  <si>
    <t>Verpakking bakjes</t>
  </si>
  <si>
    <t>Aanvullen</t>
  </si>
  <si>
    <t>Schoonmaak</t>
  </si>
  <si>
    <t>Opslag</t>
  </si>
  <si>
    <t>Kantoor</t>
  </si>
  <si>
    <t>Aanvul</t>
  </si>
  <si>
    <t>Loon personeel</t>
  </si>
  <si>
    <t>Voedsel</t>
  </si>
  <si>
    <t>Small</t>
  </si>
  <si>
    <t>Medium</t>
  </si>
  <si>
    <t>Large</t>
  </si>
  <si>
    <t>Dranken</t>
  </si>
  <si>
    <t>Promotie</t>
  </si>
  <si>
    <t>Reparateur</t>
  </si>
  <si>
    <t>Matrijs</t>
  </si>
  <si>
    <t>Materiaal</t>
  </si>
  <si>
    <t>Aanleveren Campina</t>
  </si>
  <si>
    <t>Aanschaf 'materiaal'</t>
  </si>
  <si>
    <t xml:space="preserve">Uitgaande: 1 jaar per station, 150000 porties afhaal </t>
  </si>
  <si>
    <t xml:space="preserve">Reservering </t>
  </si>
  <si>
    <t>Reperatie materiaal/kosten</t>
  </si>
  <si>
    <t>Panden</t>
  </si>
  <si>
    <t>m2</t>
  </si>
  <si>
    <t>Huurkosten/jaar</t>
  </si>
  <si>
    <t>Gereden km/zuinigheid auto</t>
  </si>
  <si>
    <t>kosten liters</t>
  </si>
  <si>
    <t>Locatie op station</t>
  </si>
  <si>
    <t>Aantal mensen</t>
  </si>
  <si>
    <t>Salaris per maand</t>
  </si>
  <si>
    <t>aantal maanden</t>
  </si>
  <si>
    <t>Samenwerkingen</t>
  </si>
  <si>
    <t>Dranken leverancier</t>
  </si>
  <si>
    <t>Inkoopkosten voedsel</t>
  </si>
  <si>
    <t>Aantal bestellingen</t>
  </si>
  <si>
    <t>Totaal aantal bestellingen:</t>
  </si>
  <si>
    <t>Totaal:</t>
  </si>
  <si>
    <t>Per portie:</t>
  </si>
  <si>
    <t>Uitgaven</t>
  </si>
  <si>
    <t>Inkomsten</t>
  </si>
  <si>
    <t>Verkoopprijs</t>
  </si>
  <si>
    <t>Balans</t>
  </si>
  <si>
    <t>Totale winst</t>
  </si>
  <si>
    <t>Aantal</t>
  </si>
  <si>
    <t>Voor 5 stations per jaar, 600000 porties afhaal</t>
  </si>
  <si>
    <t>Toekomst</t>
  </si>
  <si>
    <t xml:space="preserve">Uitgaande: 1 jaar voor 25 stations, 3300000 porties afhaal </t>
  </si>
  <si>
    <t>Kosten voor 1</t>
  </si>
  <si>
    <t>Vervoer km</t>
  </si>
  <si>
    <t>Auto's aanschaf</t>
  </si>
  <si>
    <t>Onderhoudskosten</t>
  </si>
  <si>
    <t>aantal</t>
  </si>
  <si>
    <t xml:space="preserve">Kapotte auto's </t>
  </si>
  <si>
    <t>Kapotte auto's</t>
  </si>
  <si>
    <t>Abbonoment</t>
  </si>
  <si>
    <t>Bedrijven</t>
  </si>
  <si>
    <t>Prive</t>
  </si>
  <si>
    <t>Vervoer aanschaf auto's</t>
  </si>
  <si>
    <t xml:space="preserve">Onderhouds en wegenbelasting auto's </t>
  </si>
  <si>
    <t xml:space="preserve">Onderhoudskosten en wegenbelasting auto's </t>
  </si>
  <si>
    <t>Winst op dranken</t>
  </si>
  <si>
    <t>%</t>
  </si>
  <si>
    <t>Bedrag</t>
  </si>
  <si>
    <t>Belastingen 6%</t>
  </si>
  <si>
    <t>Jaar 1</t>
  </si>
  <si>
    <t xml:space="preserve">Jaar 2 </t>
  </si>
  <si>
    <t>Voor 5 stations per jaar, 375000 porties afhaal</t>
  </si>
  <si>
    <t>Voor 5 stations per jaar, 450000 porties afhaal</t>
  </si>
  <si>
    <t>Reservering</t>
  </si>
  <si>
    <t xml:space="preserve">Auto's </t>
  </si>
  <si>
    <t>Eind bedrag:</t>
  </si>
  <si>
    <t xml:space="preserve">Eind bedrag: </t>
  </si>
  <si>
    <t>Jaar 3</t>
  </si>
  <si>
    <t>Jaar 4</t>
  </si>
  <si>
    <t>Voor 7 stations per jaar, 850000 porties afhaal</t>
  </si>
  <si>
    <t xml:space="preserve">Uitgaande: 1 jaar voor 13 stations, 1100000 porties afhaal </t>
  </si>
  <si>
    <t>Eind bedrag</t>
  </si>
  <si>
    <t>Overig</t>
  </si>
  <si>
    <t>Onvoorzien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</si>
</sst>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/>
    <xf numFmtId="1" fontId="0" fillId="0" borderId="0" xfId="0" applyNumberFormat="1"/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44" fontId="0" fillId="0" borderId="0" xfId="0" applyNumberFormat="1"/>
    <xf numFmtId="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abSelected="1" zoomScale="85" zoomScaleNormal="85" workbookViewId="0">
      <pane xSplit="3" topLeftCell="G1" activePane="topRight" state="frozen"/>
      <selection pane="topRight" activeCell="M64" sqref="M64"/>
    </sheetView>
  </sheetViews>
  <sheetFormatPr defaultRowHeight="14.4" x14ac:dyDescent="0.3"/>
  <cols>
    <col min="1" max="1" width="8.88671875" customWidth="1"/>
    <col min="2" max="2" width="23.6640625" bestFit="1" customWidth="1"/>
    <col min="3" max="3" width="24.109375" bestFit="1" customWidth="1"/>
    <col min="4" max="4" width="17.21875" customWidth="1"/>
    <col min="5" max="5" width="14.88671875" customWidth="1"/>
    <col min="7" max="7" width="20.21875" customWidth="1"/>
    <col min="11" max="11" width="19.44140625" customWidth="1"/>
    <col min="12" max="12" width="14.5546875" customWidth="1"/>
    <col min="13" max="13" width="13.33203125" customWidth="1"/>
    <col min="14" max="14" width="23.88671875" customWidth="1"/>
    <col min="19" max="19" width="18.109375" customWidth="1"/>
    <col min="20" max="20" width="15.88671875" customWidth="1"/>
    <col min="21" max="21" width="14.44140625" customWidth="1"/>
    <col min="22" max="22" width="25.44140625" customWidth="1"/>
  </cols>
  <sheetData>
    <row r="1" spans="1:26" x14ac:dyDescent="0.3">
      <c r="K1" t="s">
        <v>66</v>
      </c>
      <c r="S1" t="s">
        <v>67</v>
      </c>
    </row>
    <row r="2" spans="1:26" ht="19.8" x14ac:dyDescent="0.4">
      <c r="A2" s="4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3">
      <c r="G3" s="1" t="s">
        <v>1</v>
      </c>
      <c r="J3" s="5"/>
      <c r="R3" s="5"/>
    </row>
    <row r="4" spans="1:26" x14ac:dyDescent="0.3">
      <c r="G4" t="s">
        <v>21</v>
      </c>
      <c r="J4" s="5"/>
      <c r="N4" t="s">
        <v>68</v>
      </c>
      <c r="R4" s="5"/>
      <c r="V4" t="s">
        <v>69</v>
      </c>
    </row>
    <row r="5" spans="1:26" x14ac:dyDescent="0.3">
      <c r="A5" s="1" t="s">
        <v>0</v>
      </c>
      <c r="F5" t="s">
        <v>53</v>
      </c>
      <c r="J5" s="5"/>
      <c r="M5" t="s">
        <v>45</v>
      </c>
      <c r="N5" s="2"/>
      <c r="R5" s="5"/>
      <c r="U5" t="s">
        <v>45</v>
      </c>
      <c r="V5" s="2"/>
    </row>
    <row r="6" spans="1:26" x14ac:dyDescent="0.3">
      <c r="B6" t="s">
        <v>2</v>
      </c>
      <c r="G6" s="2">
        <v>13000</v>
      </c>
      <c r="J6" s="5"/>
      <c r="M6">
        <v>5</v>
      </c>
      <c r="N6" s="2">
        <f>M6*G6</f>
        <v>65000</v>
      </c>
      <c r="R6" s="5"/>
      <c r="U6">
        <v>5</v>
      </c>
      <c r="V6" s="2">
        <f>U6*O6</f>
        <v>0</v>
      </c>
    </row>
    <row r="7" spans="1:26" x14ac:dyDescent="0.3">
      <c r="B7" t="s">
        <v>3</v>
      </c>
      <c r="G7" s="2"/>
      <c r="J7" s="5"/>
      <c r="N7" s="2"/>
      <c r="R7" s="5"/>
      <c r="V7" s="2"/>
    </row>
    <row r="8" spans="1:26" x14ac:dyDescent="0.3">
      <c r="C8" t="s">
        <v>17</v>
      </c>
      <c r="G8" s="2">
        <v>50000</v>
      </c>
      <c r="J8" s="5"/>
      <c r="N8" s="2">
        <f>G8</f>
        <v>50000</v>
      </c>
      <c r="R8" s="5"/>
      <c r="V8" s="2">
        <f>O8</f>
        <v>0</v>
      </c>
    </row>
    <row r="9" spans="1:26" x14ac:dyDescent="0.3">
      <c r="C9" t="s">
        <v>18</v>
      </c>
      <c r="G9" s="2">
        <v>20000</v>
      </c>
      <c r="J9" s="5"/>
      <c r="N9" s="2">
        <v>80000</v>
      </c>
      <c r="R9" s="5"/>
      <c r="V9" s="2">
        <v>80000</v>
      </c>
    </row>
    <row r="10" spans="1:26" x14ac:dyDescent="0.3">
      <c r="G10" s="2"/>
      <c r="J10" s="5"/>
      <c r="N10" s="2"/>
      <c r="R10" s="5"/>
      <c r="V10" s="2"/>
    </row>
    <row r="11" spans="1:26" x14ac:dyDescent="0.3">
      <c r="B11" t="s">
        <v>15</v>
      </c>
      <c r="G11" s="2">
        <v>200000</v>
      </c>
      <c r="J11" s="5"/>
      <c r="N11" s="2">
        <v>500000</v>
      </c>
      <c r="R11" s="5"/>
      <c r="V11" s="2">
        <v>500000</v>
      </c>
    </row>
    <row r="12" spans="1:26" x14ac:dyDescent="0.3">
      <c r="G12" s="2"/>
      <c r="J12" s="5"/>
      <c r="N12" s="2"/>
      <c r="R12" s="5"/>
      <c r="V12" s="2"/>
    </row>
    <row r="13" spans="1:26" x14ac:dyDescent="0.3">
      <c r="A13" s="1" t="s">
        <v>24</v>
      </c>
      <c r="D13" t="s">
        <v>26</v>
      </c>
      <c r="E13" t="s">
        <v>25</v>
      </c>
      <c r="G13" s="2"/>
      <c r="J13" s="5"/>
      <c r="K13" t="s">
        <v>26</v>
      </c>
      <c r="L13" t="s">
        <v>25</v>
      </c>
      <c r="N13" s="2"/>
      <c r="R13" s="5"/>
      <c r="S13" t="s">
        <v>26</v>
      </c>
      <c r="T13" t="s">
        <v>25</v>
      </c>
      <c r="V13" s="2"/>
    </row>
    <row r="14" spans="1:26" x14ac:dyDescent="0.3">
      <c r="B14" t="s">
        <v>7</v>
      </c>
      <c r="D14" s="2"/>
      <c r="G14" s="2"/>
      <c r="J14" s="5"/>
      <c r="K14" s="2"/>
      <c r="N14" s="2"/>
      <c r="R14" s="5"/>
      <c r="S14" s="2"/>
      <c r="V14" s="2"/>
    </row>
    <row r="15" spans="1:26" x14ac:dyDescent="0.3">
      <c r="B15" t="s">
        <v>6</v>
      </c>
      <c r="D15" s="2">
        <v>100</v>
      </c>
      <c r="E15">
        <v>100</v>
      </c>
      <c r="G15" s="2">
        <f>D15*E15</f>
        <v>10000</v>
      </c>
      <c r="J15" s="5"/>
      <c r="K15" s="2">
        <v>100</v>
      </c>
      <c r="L15">
        <v>200</v>
      </c>
      <c r="N15" s="2">
        <f>K15*L15</f>
        <v>20000</v>
      </c>
      <c r="R15" s="5"/>
      <c r="S15" s="2">
        <v>100</v>
      </c>
      <c r="T15">
        <v>200</v>
      </c>
      <c r="V15" s="2">
        <f>S15*T15</f>
        <v>20000</v>
      </c>
    </row>
    <row r="16" spans="1:26" x14ac:dyDescent="0.3">
      <c r="B16" t="s">
        <v>29</v>
      </c>
      <c r="D16" s="2">
        <v>200</v>
      </c>
      <c r="E16">
        <v>10</v>
      </c>
      <c r="G16" s="2">
        <f>D16*E16</f>
        <v>2000</v>
      </c>
      <c r="J16" s="5"/>
      <c r="K16" s="2">
        <v>200</v>
      </c>
      <c r="L16">
        <v>10</v>
      </c>
      <c r="M16">
        <v>5</v>
      </c>
      <c r="N16" s="2">
        <f>K16*L16*M16</f>
        <v>10000</v>
      </c>
      <c r="R16" s="5"/>
      <c r="S16" s="2">
        <v>200</v>
      </c>
      <c r="T16">
        <v>10</v>
      </c>
      <c r="U16">
        <v>5</v>
      </c>
      <c r="V16" s="2">
        <f>S16*T16*U16</f>
        <v>10000</v>
      </c>
    </row>
    <row r="17" spans="1:22" x14ac:dyDescent="0.3">
      <c r="J17" s="5"/>
      <c r="N17" s="2"/>
      <c r="R17" s="5"/>
      <c r="V17" s="2"/>
    </row>
    <row r="18" spans="1:22" x14ac:dyDescent="0.3">
      <c r="A18" s="1" t="s">
        <v>4</v>
      </c>
      <c r="D18" t="s">
        <v>27</v>
      </c>
      <c r="E18" t="s">
        <v>28</v>
      </c>
      <c r="G18" s="2"/>
      <c r="J18" s="5"/>
      <c r="K18" t="s">
        <v>27</v>
      </c>
      <c r="L18" t="s">
        <v>28</v>
      </c>
      <c r="N18" s="2"/>
      <c r="R18" s="5"/>
      <c r="S18" t="s">
        <v>27</v>
      </c>
      <c r="T18" t="s">
        <v>28</v>
      </c>
      <c r="V18" s="2"/>
    </row>
    <row r="19" spans="1:22" x14ac:dyDescent="0.3">
      <c r="B19" t="s">
        <v>50</v>
      </c>
      <c r="D19">
        <f>5000/15</f>
        <v>333.33333333333331</v>
      </c>
      <c r="E19" s="2">
        <v>1.3</v>
      </c>
      <c r="G19" s="2">
        <f>D19*E19</f>
        <v>433.33333333333331</v>
      </c>
      <c r="J19" s="5"/>
      <c r="K19">
        <f>312000/15</f>
        <v>20800</v>
      </c>
      <c r="L19" s="2">
        <v>1.3</v>
      </c>
      <c r="N19" s="2">
        <f>K19*L19</f>
        <v>27040</v>
      </c>
      <c r="R19" s="5"/>
      <c r="S19">
        <f>312000/15</f>
        <v>20800</v>
      </c>
      <c r="T19" s="2">
        <v>1.3</v>
      </c>
      <c r="V19" s="2">
        <f>S19*T19</f>
        <v>27040</v>
      </c>
    </row>
    <row r="20" spans="1:22" x14ac:dyDescent="0.3">
      <c r="D20" t="s">
        <v>51</v>
      </c>
      <c r="E20" s="2" t="s">
        <v>52</v>
      </c>
      <c r="G20" s="2"/>
      <c r="J20" s="5"/>
      <c r="L20" s="2"/>
      <c r="N20" s="2"/>
      <c r="R20" s="5"/>
      <c r="T20" s="2"/>
      <c r="V20" s="2"/>
    </row>
    <row r="21" spans="1:22" x14ac:dyDescent="0.3">
      <c r="B21" t="s">
        <v>59</v>
      </c>
      <c r="E21" s="2"/>
      <c r="G21" s="2"/>
      <c r="J21" s="5"/>
      <c r="K21" s="2">
        <v>10000</v>
      </c>
      <c r="M21">
        <v>3</v>
      </c>
      <c r="N21" s="2">
        <f>K21*M21</f>
        <v>30000</v>
      </c>
      <c r="R21" s="5"/>
      <c r="S21" s="2">
        <v>10000</v>
      </c>
      <c r="U21">
        <v>0</v>
      </c>
      <c r="V21" s="2">
        <f>S21*U21</f>
        <v>0</v>
      </c>
    </row>
    <row r="22" spans="1:22" x14ac:dyDescent="0.3">
      <c r="B22" t="s">
        <v>60</v>
      </c>
      <c r="E22" s="2"/>
      <c r="G22" s="2"/>
      <c r="J22" s="5"/>
      <c r="K22" s="2">
        <v>1500</v>
      </c>
      <c r="L22" s="2"/>
      <c r="M22">
        <v>3</v>
      </c>
      <c r="N22" s="2">
        <f>K22*M22</f>
        <v>4500</v>
      </c>
      <c r="R22" s="5"/>
      <c r="S22" s="2">
        <v>1500</v>
      </c>
      <c r="T22" s="2"/>
      <c r="U22">
        <v>3</v>
      </c>
      <c r="V22" s="2">
        <f>S22*U22</f>
        <v>4500</v>
      </c>
    </row>
    <row r="23" spans="1:22" x14ac:dyDescent="0.3">
      <c r="B23" t="s">
        <v>5</v>
      </c>
      <c r="G23" s="2">
        <v>1500</v>
      </c>
      <c r="J23" s="5"/>
      <c r="M23">
        <v>5</v>
      </c>
      <c r="N23" s="2">
        <f>M23*G23</f>
        <v>7500</v>
      </c>
      <c r="R23" s="5"/>
      <c r="U23">
        <v>5</v>
      </c>
      <c r="V23" s="2">
        <f>U23*G23</f>
        <v>7500</v>
      </c>
    </row>
    <row r="24" spans="1:22" x14ac:dyDescent="0.3">
      <c r="G24" s="2"/>
      <c r="J24" s="5"/>
      <c r="N24" s="2"/>
      <c r="R24" s="5"/>
      <c r="V24" s="2"/>
    </row>
    <row r="25" spans="1:22" x14ac:dyDescent="0.3">
      <c r="A25" s="1" t="s">
        <v>9</v>
      </c>
      <c r="D25" t="s">
        <v>31</v>
      </c>
      <c r="E25" t="s">
        <v>32</v>
      </c>
      <c r="F25" t="s">
        <v>30</v>
      </c>
      <c r="G25" s="2"/>
      <c r="J25" s="5"/>
      <c r="K25" t="s">
        <v>31</v>
      </c>
      <c r="L25" t="s">
        <v>32</v>
      </c>
      <c r="M25" t="s">
        <v>30</v>
      </c>
      <c r="N25" s="2"/>
      <c r="R25" s="5"/>
      <c r="S25" t="s">
        <v>31</v>
      </c>
      <c r="T25" t="s">
        <v>32</v>
      </c>
      <c r="U25" t="s">
        <v>30</v>
      </c>
      <c r="V25" s="2"/>
    </row>
    <row r="26" spans="1:22" x14ac:dyDescent="0.3">
      <c r="B26" t="s">
        <v>8</v>
      </c>
      <c r="D26" s="2">
        <v>3500</v>
      </c>
      <c r="E26">
        <v>9</v>
      </c>
      <c r="F26">
        <v>2</v>
      </c>
      <c r="G26" s="2">
        <f>D26*E26*F26</f>
        <v>63000</v>
      </c>
      <c r="J26" s="5"/>
      <c r="K26" s="2">
        <v>3500</v>
      </c>
      <c r="L26">
        <v>9</v>
      </c>
      <c r="M26">
        <v>3</v>
      </c>
      <c r="N26" s="2">
        <f>K26*L26*M26</f>
        <v>94500</v>
      </c>
      <c r="R26" s="5"/>
      <c r="S26" s="2">
        <v>3500</v>
      </c>
      <c r="T26">
        <v>9</v>
      </c>
      <c r="U26">
        <v>6</v>
      </c>
      <c r="V26" s="2">
        <f>S26*T26*U26</f>
        <v>189000</v>
      </c>
    </row>
    <row r="27" spans="1:22" x14ac:dyDescent="0.3">
      <c r="B27" t="s">
        <v>7</v>
      </c>
      <c r="D27" s="2">
        <v>3000</v>
      </c>
      <c r="E27">
        <v>9</v>
      </c>
      <c r="F27">
        <v>3</v>
      </c>
      <c r="G27" s="2">
        <f>D27*E27*F27</f>
        <v>81000</v>
      </c>
      <c r="J27" s="5"/>
      <c r="K27" s="2">
        <v>3000</v>
      </c>
      <c r="L27">
        <v>9</v>
      </c>
      <c r="M27">
        <v>3</v>
      </c>
      <c r="N27" s="2">
        <f>K27*L27*M27</f>
        <v>81000</v>
      </c>
      <c r="R27" s="5"/>
      <c r="S27" s="2">
        <v>3000</v>
      </c>
      <c r="T27">
        <v>9</v>
      </c>
      <c r="U27">
        <v>3</v>
      </c>
      <c r="V27" s="2">
        <f>S27*T27*U27</f>
        <v>81000</v>
      </c>
    </row>
    <row r="28" spans="1:22" x14ac:dyDescent="0.3">
      <c r="B28" t="s">
        <v>16</v>
      </c>
      <c r="D28" s="2"/>
      <c r="G28" s="2">
        <v>2000</v>
      </c>
      <c r="J28" s="5"/>
      <c r="K28" s="2"/>
      <c r="N28" s="2">
        <v>8000</v>
      </c>
      <c r="R28" s="5"/>
      <c r="S28" s="2"/>
      <c r="V28" s="2">
        <v>8000</v>
      </c>
    </row>
    <row r="29" spans="1:22" x14ac:dyDescent="0.3">
      <c r="A29" s="1" t="s">
        <v>10</v>
      </c>
      <c r="G29" s="2"/>
      <c r="J29" s="5"/>
      <c r="N29" s="2"/>
      <c r="R29" s="5"/>
      <c r="V29" s="2"/>
    </row>
    <row r="30" spans="1:22" x14ac:dyDescent="0.3">
      <c r="B30" t="s">
        <v>19</v>
      </c>
      <c r="G30" s="2">
        <v>10000</v>
      </c>
      <c r="J30" s="5"/>
      <c r="N30" s="2">
        <f>G30</f>
        <v>10000</v>
      </c>
      <c r="R30" s="5"/>
      <c r="V30" s="2">
        <f>G30</f>
        <v>10000</v>
      </c>
    </row>
    <row r="31" spans="1:22" x14ac:dyDescent="0.3">
      <c r="G31" s="2"/>
      <c r="J31" s="5"/>
      <c r="N31" s="2"/>
      <c r="R31" s="5"/>
      <c r="V31" s="2"/>
    </row>
    <row r="32" spans="1:22" x14ac:dyDescent="0.3">
      <c r="B32" t="s">
        <v>20</v>
      </c>
      <c r="C32" t="s">
        <v>37</v>
      </c>
      <c r="D32">
        <v>100000</v>
      </c>
      <c r="G32" s="2"/>
      <c r="J32" s="5"/>
      <c r="K32" t="s">
        <v>37</v>
      </c>
      <c r="L32">
        <v>375000</v>
      </c>
      <c r="R32" s="5"/>
      <c r="S32" t="s">
        <v>37</v>
      </c>
      <c r="T32">
        <v>450000</v>
      </c>
    </row>
    <row r="33" spans="1:22" x14ac:dyDescent="0.3">
      <c r="D33" t="s">
        <v>35</v>
      </c>
      <c r="F33" t="s">
        <v>36</v>
      </c>
      <c r="J33" s="5"/>
      <c r="L33" t="s">
        <v>35</v>
      </c>
      <c r="M33" t="s">
        <v>36</v>
      </c>
      <c r="R33" s="5"/>
      <c r="T33" t="s">
        <v>35</v>
      </c>
      <c r="U33" t="s">
        <v>36</v>
      </c>
    </row>
    <row r="34" spans="1:22" x14ac:dyDescent="0.3">
      <c r="C34" t="s">
        <v>11</v>
      </c>
      <c r="D34" s="2">
        <v>0.96897999999999995</v>
      </c>
      <c r="F34" s="3">
        <f>D32*(3/7)</f>
        <v>42857.142857142855</v>
      </c>
      <c r="G34" s="2">
        <f>D34*F34</f>
        <v>41527.714285714283</v>
      </c>
      <c r="J34" s="5"/>
      <c r="K34" t="s">
        <v>11</v>
      </c>
      <c r="L34" s="2">
        <v>0.96897999999999995</v>
      </c>
      <c r="M34" s="3">
        <f>L32*(3/7)</f>
        <v>160714.28571428571</v>
      </c>
      <c r="N34" s="2">
        <f>L34*M34</f>
        <v>155728.92857142855</v>
      </c>
      <c r="R34" s="5"/>
      <c r="S34" t="s">
        <v>11</v>
      </c>
      <c r="T34" s="2">
        <v>0.96897999999999995</v>
      </c>
      <c r="U34" s="3">
        <f>T32*(3/7)</f>
        <v>192857.14285714284</v>
      </c>
      <c r="V34" s="2">
        <f>T34*U34</f>
        <v>186874.71428571426</v>
      </c>
    </row>
    <row r="35" spans="1:22" x14ac:dyDescent="0.3">
      <c r="C35" t="s">
        <v>12</v>
      </c>
      <c r="D35" s="2">
        <v>1.0159800000000001</v>
      </c>
      <c r="F35" s="3">
        <f>D32*(2/7)</f>
        <v>28571.428571428569</v>
      </c>
      <c r="G35" s="2">
        <f>D35*F35</f>
        <v>29028</v>
      </c>
      <c r="J35" s="5"/>
      <c r="K35" t="s">
        <v>12</v>
      </c>
      <c r="L35" s="2">
        <v>1.0159800000000001</v>
      </c>
      <c r="M35" s="3">
        <f>L32*(2/7)</f>
        <v>107142.85714285713</v>
      </c>
      <c r="N35" s="2">
        <f>L35*M35</f>
        <v>108855</v>
      </c>
      <c r="R35" s="5"/>
      <c r="S35" t="s">
        <v>12</v>
      </c>
      <c r="T35" s="2">
        <v>1.0159800000000001</v>
      </c>
      <c r="U35" s="3">
        <f>T32*(2/7)</f>
        <v>128571.42857142857</v>
      </c>
      <c r="V35" s="2">
        <f>T35*U35</f>
        <v>130626</v>
      </c>
    </row>
    <row r="36" spans="1:22" x14ac:dyDescent="0.3">
      <c r="C36" t="s">
        <v>13</v>
      </c>
      <c r="D36" s="2">
        <v>1.06298</v>
      </c>
      <c r="F36" s="3">
        <f>D32*(2/7)</f>
        <v>28571.428571428569</v>
      </c>
      <c r="G36" s="2">
        <f>D36*F36</f>
        <v>30370.857142857141</v>
      </c>
      <c r="J36" s="5"/>
      <c r="K36" t="s">
        <v>13</v>
      </c>
      <c r="L36" s="2">
        <v>1.06298</v>
      </c>
      <c r="M36" s="3">
        <f>L32*(2/7)</f>
        <v>107142.85714285713</v>
      </c>
      <c r="N36" s="2">
        <f>L36*M36</f>
        <v>113890.71428571428</v>
      </c>
      <c r="R36" s="5"/>
      <c r="S36" t="s">
        <v>13</v>
      </c>
      <c r="T36" s="2">
        <v>1.06298</v>
      </c>
      <c r="U36" s="3">
        <f>T32*(2/7)</f>
        <v>128571.42857142857</v>
      </c>
      <c r="V36" s="2">
        <f>T36*U36</f>
        <v>136668.85714285713</v>
      </c>
    </row>
    <row r="37" spans="1:22" x14ac:dyDescent="0.3">
      <c r="C37" t="s">
        <v>14</v>
      </c>
      <c r="D37" s="2"/>
      <c r="F37" s="3">
        <f>D32*(1/7)</f>
        <v>14285.714285714284</v>
      </c>
      <c r="G37" s="2">
        <f>D37*F37</f>
        <v>0</v>
      </c>
      <c r="J37" s="5"/>
      <c r="K37" t="s">
        <v>14</v>
      </c>
      <c r="L37" s="2"/>
      <c r="M37" s="3">
        <f>L32*(1/7)</f>
        <v>53571.428571428565</v>
      </c>
      <c r="N37" s="2">
        <f>L37*M37</f>
        <v>0</v>
      </c>
      <c r="R37" s="5"/>
      <c r="S37" t="s">
        <v>14</v>
      </c>
      <c r="T37" s="2"/>
      <c r="U37" s="3">
        <f>T32*(1/7)</f>
        <v>64285.714285714283</v>
      </c>
      <c r="V37" s="2">
        <f>T37*U37</f>
        <v>0</v>
      </c>
    </row>
    <row r="38" spans="1:22" x14ac:dyDescent="0.3">
      <c r="B38" t="s">
        <v>65</v>
      </c>
      <c r="D38" s="8">
        <v>0.06</v>
      </c>
      <c r="F38" s="3"/>
      <c r="G38" s="2">
        <f>D38*G60</f>
        <v>22285.714285714283</v>
      </c>
      <c r="J38" s="5"/>
      <c r="K38">
        <v>0.06</v>
      </c>
      <c r="L38" s="2"/>
      <c r="M38" s="3"/>
      <c r="N38" s="2">
        <f>K38*N60</f>
        <v>83571.428571428551</v>
      </c>
      <c r="R38" s="5"/>
      <c r="S38">
        <v>0.06</v>
      </c>
      <c r="T38" s="2"/>
      <c r="U38" s="3"/>
      <c r="V38" s="2">
        <f>S38*V60</f>
        <v>100285.71428571428</v>
      </c>
    </row>
    <row r="39" spans="1:22" x14ac:dyDescent="0.3">
      <c r="A39" s="1" t="s">
        <v>22</v>
      </c>
      <c r="G39" s="2"/>
      <c r="J39" s="5"/>
      <c r="N39" s="2"/>
      <c r="R39" s="5"/>
      <c r="V39" s="2"/>
    </row>
    <row r="40" spans="1:22" x14ac:dyDescent="0.3">
      <c r="B40" t="s">
        <v>23</v>
      </c>
      <c r="G40" s="2">
        <v>1300</v>
      </c>
      <c r="J40" s="5"/>
      <c r="M40">
        <v>5</v>
      </c>
      <c r="N40" s="2">
        <f>M40*G40</f>
        <v>6500</v>
      </c>
      <c r="R40" s="5"/>
      <c r="U40">
        <v>5</v>
      </c>
      <c r="V40" s="2">
        <f>U40*G40</f>
        <v>6500</v>
      </c>
    </row>
    <row r="41" spans="1:22" x14ac:dyDescent="0.3">
      <c r="B41" t="s">
        <v>54</v>
      </c>
      <c r="G41" s="2"/>
      <c r="J41" s="5"/>
      <c r="L41" s="2">
        <v>5000</v>
      </c>
      <c r="M41">
        <v>2</v>
      </c>
      <c r="N41" s="2">
        <f>L41*M41</f>
        <v>10000</v>
      </c>
      <c r="R41" s="5"/>
      <c r="T41" s="2">
        <v>5000</v>
      </c>
      <c r="U41">
        <v>2</v>
      </c>
      <c r="V41" s="2">
        <f>T41*U41</f>
        <v>10000</v>
      </c>
    </row>
    <row r="42" spans="1:22" x14ac:dyDescent="0.3">
      <c r="A42" s="1" t="s">
        <v>33</v>
      </c>
      <c r="D42" t="s">
        <v>63</v>
      </c>
      <c r="G42" s="2"/>
      <c r="J42" s="5"/>
      <c r="K42" t="s">
        <v>63</v>
      </c>
      <c r="N42" s="2"/>
      <c r="R42" s="5"/>
      <c r="S42" t="s">
        <v>63</v>
      </c>
      <c r="V42" s="2"/>
    </row>
    <row r="43" spans="1:22" x14ac:dyDescent="0.3">
      <c r="B43" t="s">
        <v>34</v>
      </c>
      <c r="D43">
        <v>0.95</v>
      </c>
      <c r="G43" s="2">
        <f>D43*G56</f>
        <v>27142.857142857138</v>
      </c>
      <c r="J43" s="5"/>
      <c r="K43">
        <v>0.95</v>
      </c>
      <c r="N43" s="2">
        <f>K43*N56</f>
        <v>101785.71428571428</v>
      </c>
      <c r="R43" s="5"/>
      <c r="S43">
        <v>0.95</v>
      </c>
      <c r="V43" s="2">
        <f>S43*V56</f>
        <v>122142.85714285713</v>
      </c>
    </row>
    <row r="44" spans="1:22" x14ac:dyDescent="0.3">
      <c r="A44" s="1" t="s">
        <v>79</v>
      </c>
      <c r="D44" t="s">
        <v>63</v>
      </c>
      <c r="G44" s="2"/>
      <c r="J44" s="5"/>
      <c r="K44" t="s">
        <v>63</v>
      </c>
      <c r="N44" s="2"/>
      <c r="R44" s="5"/>
      <c r="S44" t="s">
        <v>63</v>
      </c>
      <c r="V44" s="2"/>
    </row>
    <row r="45" spans="1:22" x14ac:dyDescent="0.3">
      <c r="B45" t="s">
        <v>80</v>
      </c>
      <c r="D45">
        <v>0.05</v>
      </c>
      <c r="G45" s="2">
        <f>D45*(SUM(G6:G38)+G43)</f>
        <v>30164.423809523811</v>
      </c>
      <c r="J45" s="5"/>
      <c r="K45">
        <v>0.05</v>
      </c>
      <c r="N45" s="2">
        <f>K45*(SUM(N5:N38)+N43)</f>
        <v>77568.589285714304</v>
      </c>
      <c r="R45" s="5"/>
      <c r="S45">
        <v>0.05</v>
      </c>
      <c r="V45" s="2">
        <f>S45*(SUM(V5:V38)+V43)</f>
        <v>80681.907142857148</v>
      </c>
    </row>
    <row r="46" spans="1:22" x14ac:dyDescent="0.3">
      <c r="G46" s="2"/>
      <c r="J46" s="5"/>
      <c r="N46" s="2"/>
      <c r="R46" s="5"/>
      <c r="V46" s="2"/>
    </row>
    <row r="47" spans="1:22" x14ac:dyDescent="0.3">
      <c r="E47" s="1" t="s">
        <v>38</v>
      </c>
      <c r="G47" s="2">
        <f>SUM(G5:G46)</f>
        <v>634752.9</v>
      </c>
      <c r="J47" s="5"/>
      <c r="M47" s="1" t="s">
        <v>38</v>
      </c>
      <c r="N47" s="2">
        <f>SUM(N5:N46)</f>
        <v>1645440.3750000002</v>
      </c>
      <c r="R47" s="5"/>
      <c r="U47" s="1" t="s">
        <v>38</v>
      </c>
      <c r="V47" s="2">
        <f>SUM(V5:V46)</f>
        <v>1710820.0499999998</v>
      </c>
    </row>
    <row r="48" spans="1:22" x14ac:dyDescent="0.3">
      <c r="E48" t="s">
        <v>39</v>
      </c>
      <c r="G48" s="2">
        <f>G47/D32</f>
        <v>6.3475290000000006</v>
      </c>
      <c r="J48" s="5"/>
      <c r="M48" t="s">
        <v>39</v>
      </c>
      <c r="N48" s="2">
        <f>N47/L32</f>
        <v>4.3878410000000008</v>
      </c>
      <c r="R48" s="5"/>
      <c r="U48" t="s">
        <v>39</v>
      </c>
      <c r="V48" s="2">
        <f>V47/T32</f>
        <v>3.801822333333333</v>
      </c>
    </row>
    <row r="49" spans="1:26" x14ac:dyDescent="0.3">
      <c r="G49" s="2"/>
      <c r="J49" s="5"/>
      <c r="N49" s="2"/>
      <c r="R49" s="5"/>
      <c r="V49" s="2"/>
    </row>
    <row r="50" spans="1:26" ht="19.8" x14ac:dyDescent="0.4">
      <c r="A50" s="4" t="s">
        <v>41</v>
      </c>
      <c r="B50" s="5"/>
      <c r="C50" s="5"/>
      <c r="D50" s="5"/>
      <c r="E50" s="5"/>
      <c r="F50" s="5"/>
      <c r="G50" s="6"/>
      <c r="H50" s="5"/>
      <c r="I50" s="5"/>
      <c r="J50" s="5"/>
      <c r="K50" s="5"/>
      <c r="L50" s="5"/>
      <c r="M50" s="5"/>
      <c r="N50" s="6"/>
      <c r="O50" s="5"/>
      <c r="P50" s="5"/>
      <c r="Q50" s="5"/>
      <c r="R50" s="5"/>
      <c r="S50" s="5"/>
      <c r="T50" s="5"/>
      <c r="U50" s="5"/>
      <c r="V50" s="6"/>
      <c r="W50" s="5"/>
      <c r="X50" s="5"/>
      <c r="Y50" s="5"/>
      <c r="Z50" s="5"/>
    </row>
    <row r="51" spans="1:26" x14ac:dyDescent="0.3">
      <c r="J51" s="5"/>
      <c r="N51" s="2"/>
      <c r="R51" s="5"/>
      <c r="V51" s="2"/>
    </row>
    <row r="52" spans="1:26" x14ac:dyDescent="0.3">
      <c r="A52" s="1" t="s">
        <v>10</v>
      </c>
      <c r="D52" t="s">
        <v>42</v>
      </c>
      <c r="F52" t="s">
        <v>36</v>
      </c>
      <c r="J52" s="5"/>
      <c r="K52" t="s">
        <v>42</v>
      </c>
      <c r="M52" t="s">
        <v>36</v>
      </c>
      <c r="N52" s="2"/>
      <c r="R52" s="5"/>
      <c r="S52" t="s">
        <v>42</v>
      </c>
      <c r="U52" t="s">
        <v>36</v>
      </c>
      <c r="V52" s="2"/>
    </row>
    <row r="53" spans="1:26" x14ac:dyDescent="0.3">
      <c r="B53" t="s">
        <v>11</v>
      </c>
      <c r="D53" s="2">
        <v>3</v>
      </c>
      <c r="F53" s="3">
        <f>F34</f>
        <v>42857.142857142855</v>
      </c>
      <c r="G53" s="2">
        <f>D53*F53</f>
        <v>128571.42857142857</v>
      </c>
      <c r="J53" s="5"/>
      <c r="K53" s="2">
        <v>3</v>
      </c>
      <c r="M53" s="3">
        <f>M34</f>
        <v>160714.28571428571</v>
      </c>
      <c r="N53" s="2">
        <f>K53*M53</f>
        <v>482142.85714285716</v>
      </c>
      <c r="R53" s="5"/>
      <c r="S53" s="2">
        <v>3</v>
      </c>
      <c r="U53" s="3">
        <f>U34</f>
        <v>192857.14285714284</v>
      </c>
      <c r="V53" s="2">
        <f>S53*U53</f>
        <v>578571.42857142852</v>
      </c>
    </row>
    <row r="54" spans="1:26" x14ac:dyDescent="0.3">
      <c r="B54" t="s">
        <v>12</v>
      </c>
      <c r="D54" s="2">
        <v>3.5</v>
      </c>
      <c r="F54" s="3">
        <f>F35</f>
        <v>28571.428571428569</v>
      </c>
      <c r="G54" s="2">
        <f>D54*F54</f>
        <v>99999.999999999985</v>
      </c>
      <c r="J54" s="5"/>
      <c r="K54" s="2">
        <v>3.5</v>
      </c>
      <c r="M54" s="3">
        <f>M35</f>
        <v>107142.85714285713</v>
      </c>
      <c r="N54" s="2">
        <f>K54*M54</f>
        <v>374999.99999999994</v>
      </c>
      <c r="R54" s="5"/>
      <c r="S54" s="2">
        <v>3.5</v>
      </c>
      <c r="U54" s="3">
        <f>U35</f>
        <v>128571.42857142857</v>
      </c>
      <c r="V54" s="2">
        <f>S54*U54</f>
        <v>450000</v>
      </c>
    </row>
    <row r="55" spans="1:26" x14ac:dyDescent="0.3">
      <c r="B55" t="s">
        <v>13</v>
      </c>
      <c r="D55" s="2">
        <v>4</v>
      </c>
      <c r="F55" s="3">
        <f>F36</f>
        <v>28571.428571428569</v>
      </c>
      <c r="G55" s="2">
        <f>D55*F55</f>
        <v>114285.71428571428</v>
      </c>
      <c r="J55" s="5"/>
      <c r="K55" s="2">
        <v>4</v>
      </c>
      <c r="M55" s="3">
        <f>M36</f>
        <v>107142.85714285713</v>
      </c>
      <c r="N55" s="2">
        <f>K55*M55</f>
        <v>428571.42857142852</v>
      </c>
      <c r="R55" s="5"/>
      <c r="S55" s="2">
        <v>4</v>
      </c>
      <c r="U55" s="3">
        <f>U36</f>
        <v>128571.42857142857</v>
      </c>
      <c r="V55" s="2">
        <f>S55*U55</f>
        <v>514285.71428571426</v>
      </c>
    </row>
    <row r="56" spans="1:26" x14ac:dyDescent="0.3">
      <c r="B56" t="s">
        <v>14</v>
      </c>
      <c r="D56" s="2">
        <v>2</v>
      </c>
      <c r="F56" s="3">
        <f>F37</f>
        <v>14285.714285714284</v>
      </c>
      <c r="G56" s="2">
        <f>D56*F56</f>
        <v>28571.428571428569</v>
      </c>
      <c r="J56" s="5"/>
      <c r="K56" s="2">
        <v>2</v>
      </c>
      <c r="M56" s="3">
        <f>M37</f>
        <v>53571.428571428565</v>
      </c>
      <c r="N56" s="2">
        <f>K56*M56</f>
        <v>107142.85714285713</v>
      </c>
      <c r="R56" s="5"/>
      <c r="S56" s="2">
        <v>2</v>
      </c>
      <c r="U56" s="3">
        <f>U37</f>
        <v>64285.714285714283</v>
      </c>
      <c r="V56" s="2">
        <f>S56*U56</f>
        <v>128571.42857142857</v>
      </c>
    </row>
    <row r="57" spans="1:26" x14ac:dyDescent="0.3">
      <c r="J57" s="5"/>
      <c r="N57" s="2"/>
      <c r="R57" s="5"/>
      <c r="V57" s="2"/>
    </row>
    <row r="58" spans="1:26" x14ac:dyDescent="0.3">
      <c r="J58" s="5"/>
      <c r="N58" s="2"/>
      <c r="R58" s="5"/>
      <c r="V58" s="2"/>
    </row>
    <row r="59" spans="1:26" x14ac:dyDescent="0.3">
      <c r="J59" s="5"/>
      <c r="N59" s="2"/>
      <c r="R59" s="5"/>
      <c r="V59" s="2"/>
    </row>
    <row r="60" spans="1:26" x14ac:dyDescent="0.3">
      <c r="E60" s="1" t="s">
        <v>38</v>
      </c>
      <c r="G60" s="2">
        <f>SUM(G53:G56)</f>
        <v>371428.57142857142</v>
      </c>
      <c r="J60" s="5"/>
      <c r="L60" s="1" t="s">
        <v>38</v>
      </c>
      <c r="N60" s="2">
        <f>SUM(N53:N56)</f>
        <v>1392857.1428571425</v>
      </c>
      <c r="R60" s="5"/>
      <c r="T60" s="1" t="s">
        <v>38</v>
      </c>
      <c r="V60" s="2">
        <f>SUM(V53:V56)</f>
        <v>1671428.5714285714</v>
      </c>
    </row>
    <row r="61" spans="1:26" x14ac:dyDescent="0.3">
      <c r="J61" s="5"/>
      <c r="N61" s="2"/>
      <c r="R61" s="5"/>
      <c r="V61" s="2"/>
    </row>
    <row r="62" spans="1:26" x14ac:dyDescent="0.3">
      <c r="J62" s="5"/>
      <c r="N62" s="2"/>
      <c r="R62" s="5"/>
      <c r="V62" s="2"/>
    </row>
    <row r="63" spans="1:26" ht="19.8" x14ac:dyDescent="0.4">
      <c r="A63" s="4" t="s">
        <v>43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  <c r="O63" s="5"/>
      <c r="P63" s="5"/>
      <c r="Q63" s="5"/>
      <c r="R63" s="5"/>
      <c r="S63" s="5"/>
      <c r="T63" s="5"/>
      <c r="U63" s="5"/>
      <c r="V63" s="6"/>
      <c r="W63" s="5"/>
      <c r="X63" s="5"/>
      <c r="Y63" s="5"/>
      <c r="Z63" s="5"/>
    </row>
    <row r="64" spans="1:26" x14ac:dyDescent="0.3">
      <c r="J64" s="5"/>
      <c r="N64" s="2"/>
      <c r="R64" s="5"/>
      <c r="V64" s="2"/>
    </row>
    <row r="65" spans="2:22" x14ac:dyDescent="0.3">
      <c r="B65" t="s">
        <v>44</v>
      </c>
      <c r="G65" s="2">
        <f>G60-G47</f>
        <v>-263324.3285714286</v>
      </c>
      <c r="J65" s="5"/>
      <c r="L65" t="s">
        <v>44</v>
      </c>
      <c r="N65" s="2">
        <f>N60-N47</f>
        <v>-252583.23214285774</v>
      </c>
      <c r="R65" s="5"/>
      <c r="T65" t="s">
        <v>44</v>
      </c>
      <c r="V65" s="2">
        <f>V60-V47</f>
        <v>-39391.478571428452</v>
      </c>
    </row>
    <row r="66" spans="2:22" x14ac:dyDescent="0.3">
      <c r="J66" s="5"/>
      <c r="L66" t="s">
        <v>70</v>
      </c>
      <c r="N66" s="2"/>
      <c r="R66" s="5"/>
      <c r="T66" t="s">
        <v>70</v>
      </c>
      <c r="V66" s="2"/>
    </row>
    <row r="67" spans="2:22" x14ac:dyDescent="0.3">
      <c r="J67" s="5"/>
      <c r="M67" t="s">
        <v>18</v>
      </c>
      <c r="N67" s="2">
        <f>N40</f>
        <v>6500</v>
      </c>
      <c r="R67" s="5"/>
      <c r="U67" t="s">
        <v>18</v>
      </c>
      <c r="V67" s="2">
        <f>N67+V40</f>
        <v>13000</v>
      </c>
    </row>
    <row r="68" spans="2:22" x14ac:dyDescent="0.3">
      <c r="J68" s="5"/>
      <c r="M68" t="s">
        <v>71</v>
      </c>
      <c r="N68" s="2">
        <f>N41</f>
        <v>10000</v>
      </c>
      <c r="R68" s="5"/>
      <c r="U68" t="s">
        <v>71</v>
      </c>
      <c r="V68" s="2">
        <f>N68+V41</f>
        <v>20000</v>
      </c>
    </row>
    <row r="69" spans="2:22" x14ac:dyDescent="0.3">
      <c r="J69" s="5"/>
      <c r="R69" s="5"/>
    </row>
    <row r="71" spans="2:22" x14ac:dyDescent="0.3">
      <c r="L71" t="s">
        <v>72</v>
      </c>
      <c r="N71" s="2">
        <f xml:space="preserve"> SUM(N65:N68)</f>
        <v>-236083.23214285774</v>
      </c>
      <c r="T71" t="s">
        <v>73</v>
      </c>
      <c r="V71" s="2">
        <f xml:space="preserve"> SUM(V65:V68)</f>
        <v>-6391.4785714284517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opLeftCell="A46" zoomScale="90" zoomScaleNormal="90" workbookViewId="0">
      <pane xSplit="3" topLeftCell="V1" activePane="topRight" state="frozen"/>
      <selection pane="topRight" activeCell="N65" sqref="N65"/>
    </sheetView>
  </sheetViews>
  <sheetFormatPr defaultRowHeight="14.4" x14ac:dyDescent="0.3"/>
  <cols>
    <col min="1" max="1" width="8.88671875" customWidth="1"/>
    <col min="2" max="2" width="23.6640625" bestFit="1" customWidth="1"/>
    <col min="3" max="3" width="24.109375" bestFit="1" customWidth="1"/>
    <col min="4" max="4" width="17.21875" customWidth="1"/>
    <col min="5" max="5" width="14.88671875" customWidth="1"/>
    <col min="7" max="7" width="20.21875" customWidth="1"/>
    <col min="11" max="11" width="19.44140625" customWidth="1"/>
    <col min="12" max="12" width="14.5546875" customWidth="1"/>
    <col min="13" max="13" width="13.33203125" customWidth="1"/>
    <col min="14" max="14" width="23.88671875" customWidth="1"/>
    <col min="19" max="19" width="18.109375" customWidth="1"/>
    <col min="20" max="20" width="15.88671875" customWidth="1"/>
    <col min="21" max="21" width="14.44140625" customWidth="1"/>
    <col min="22" max="22" width="25.44140625" customWidth="1"/>
  </cols>
  <sheetData>
    <row r="1" spans="1:26" x14ac:dyDescent="0.3">
      <c r="K1" t="s">
        <v>74</v>
      </c>
      <c r="S1" t="s">
        <v>75</v>
      </c>
    </row>
    <row r="2" spans="1:26" ht="19.8" x14ac:dyDescent="0.4">
      <c r="A2" s="4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3">
      <c r="G3" s="1" t="s">
        <v>1</v>
      </c>
      <c r="J3" s="5"/>
      <c r="R3" s="5"/>
    </row>
    <row r="4" spans="1:26" x14ac:dyDescent="0.3">
      <c r="G4" t="s">
        <v>21</v>
      </c>
      <c r="J4" s="5"/>
      <c r="N4" t="s">
        <v>46</v>
      </c>
      <c r="R4" s="5"/>
      <c r="V4" t="s">
        <v>76</v>
      </c>
    </row>
    <row r="5" spans="1:26" x14ac:dyDescent="0.3">
      <c r="A5" s="1" t="s">
        <v>0</v>
      </c>
      <c r="F5" t="s">
        <v>53</v>
      </c>
      <c r="J5" s="5"/>
      <c r="M5" t="s">
        <v>45</v>
      </c>
      <c r="N5" s="2"/>
      <c r="R5" s="5"/>
      <c r="U5" t="s">
        <v>45</v>
      </c>
      <c r="V5" s="2"/>
    </row>
    <row r="6" spans="1:26" x14ac:dyDescent="0.3">
      <c r="B6" t="s">
        <v>2</v>
      </c>
      <c r="G6" s="2">
        <v>13000</v>
      </c>
      <c r="J6" s="5"/>
      <c r="M6">
        <v>0</v>
      </c>
      <c r="N6" s="2">
        <f>M6*G6</f>
        <v>0</v>
      </c>
      <c r="R6" s="5"/>
      <c r="S6" s="2">
        <v>13000</v>
      </c>
      <c r="U6">
        <v>2</v>
      </c>
      <c r="V6" s="2">
        <f>S6*U6</f>
        <v>26000</v>
      </c>
    </row>
    <row r="7" spans="1:26" x14ac:dyDescent="0.3">
      <c r="B7" t="s">
        <v>3</v>
      </c>
      <c r="G7" s="2"/>
      <c r="J7" s="5"/>
      <c r="N7" s="2"/>
      <c r="R7" s="5"/>
      <c r="V7" s="2"/>
    </row>
    <row r="8" spans="1:26" x14ac:dyDescent="0.3">
      <c r="C8" t="s">
        <v>17</v>
      </c>
      <c r="G8" s="2">
        <v>50000</v>
      </c>
      <c r="J8" s="5"/>
      <c r="N8" s="2"/>
      <c r="R8" s="5"/>
      <c r="S8" s="2">
        <v>50000</v>
      </c>
      <c r="U8">
        <v>1</v>
      </c>
      <c r="V8" s="2">
        <f>S8*U8</f>
        <v>50000</v>
      </c>
    </row>
    <row r="9" spans="1:26" x14ac:dyDescent="0.3">
      <c r="C9" t="s">
        <v>18</v>
      </c>
      <c r="G9" s="2">
        <v>20000</v>
      </c>
      <c r="J9" s="5"/>
      <c r="N9" s="2">
        <v>80000</v>
      </c>
      <c r="R9" s="5"/>
      <c r="V9" s="2">
        <v>80000</v>
      </c>
    </row>
    <row r="10" spans="1:26" x14ac:dyDescent="0.3">
      <c r="G10" s="2"/>
      <c r="J10" s="5"/>
      <c r="N10" s="2"/>
      <c r="R10" s="5"/>
      <c r="V10" s="2"/>
    </row>
    <row r="11" spans="1:26" x14ac:dyDescent="0.3">
      <c r="B11" t="s">
        <v>15</v>
      </c>
      <c r="G11" s="2">
        <v>200000</v>
      </c>
      <c r="J11" s="5"/>
      <c r="N11" s="2">
        <v>500000</v>
      </c>
      <c r="R11" s="5"/>
      <c r="V11" s="2">
        <v>500000</v>
      </c>
    </row>
    <row r="12" spans="1:26" x14ac:dyDescent="0.3">
      <c r="G12" s="2"/>
      <c r="J12" s="5"/>
      <c r="N12" s="2"/>
      <c r="R12" s="5"/>
      <c r="V12" s="2"/>
    </row>
    <row r="13" spans="1:26" x14ac:dyDescent="0.3">
      <c r="A13" s="1" t="s">
        <v>24</v>
      </c>
      <c r="D13" t="s">
        <v>26</v>
      </c>
      <c r="E13" t="s">
        <v>25</v>
      </c>
      <c r="G13" s="2"/>
      <c r="J13" s="5"/>
      <c r="K13" t="s">
        <v>26</v>
      </c>
      <c r="L13" t="s">
        <v>25</v>
      </c>
      <c r="N13" s="2"/>
      <c r="R13" s="5"/>
      <c r="S13" t="s">
        <v>26</v>
      </c>
      <c r="T13" t="s">
        <v>25</v>
      </c>
      <c r="V13" s="2"/>
    </row>
    <row r="14" spans="1:26" x14ac:dyDescent="0.3">
      <c r="B14" t="s">
        <v>7</v>
      </c>
      <c r="D14" s="2"/>
      <c r="G14" s="2"/>
      <c r="J14" s="5"/>
      <c r="K14" s="2"/>
      <c r="N14" s="2"/>
      <c r="R14" s="5"/>
      <c r="S14" s="2"/>
      <c r="V14" s="2"/>
    </row>
    <row r="15" spans="1:26" x14ac:dyDescent="0.3">
      <c r="B15" t="s">
        <v>6</v>
      </c>
      <c r="D15" s="2">
        <v>100</v>
      </c>
      <c r="E15">
        <v>100</v>
      </c>
      <c r="G15" s="2">
        <f>D15*E15</f>
        <v>10000</v>
      </c>
      <c r="J15" s="5"/>
      <c r="K15" s="2">
        <v>100</v>
      </c>
      <c r="L15">
        <v>200</v>
      </c>
      <c r="N15" s="2">
        <f>K15*L15</f>
        <v>20000</v>
      </c>
      <c r="R15" s="5"/>
      <c r="S15" s="2">
        <v>100</v>
      </c>
      <c r="T15">
        <v>200</v>
      </c>
      <c r="V15" s="2">
        <f>S15*T15</f>
        <v>20000</v>
      </c>
    </row>
    <row r="16" spans="1:26" x14ac:dyDescent="0.3">
      <c r="B16" t="s">
        <v>29</v>
      </c>
      <c r="D16" s="2">
        <v>200</v>
      </c>
      <c r="E16">
        <v>10</v>
      </c>
      <c r="G16" s="2">
        <f>D16*E16</f>
        <v>2000</v>
      </c>
      <c r="J16" s="5"/>
      <c r="K16" s="2">
        <v>200</v>
      </c>
      <c r="L16">
        <v>10</v>
      </c>
      <c r="M16">
        <v>5</v>
      </c>
      <c r="N16" s="2">
        <f>K16*L16*M16</f>
        <v>10000</v>
      </c>
      <c r="R16" s="5"/>
      <c r="S16" s="2">
        <v>200</v>
      </c>
      <c r="T16">
        <v>10</v>
      </c>
      <c r="U16">
        <v>7</v>
      </c>
      <c r="V16" s="2">
        <f>S16*T16*U16</f>
        <v>14000</v>
      </c>
    </row>
    <row r="17" spans="1:22" x14ac:dyDescent="0.3">
      <c r="J17" s="5"/>
      <c r="N17" s="2"/>
      <c r="R17" s="5"/>
      <c r="V17" s="2"/>
    </row>
    <row r="18" spans="1:22" x14ac:dyDescent="0.3">
      <c r="A18" s="1" t="s">
        <v>4</v>
      </c>
      <c r="D18" t="s">
        <v>27</v>
      </c>
      <c r="E18" t="s">
        <v>28</v>
      </c>
      <c r="G18" s="2"/>
      <c r="J18" s="5"/>
      <c r="K18" t="s">
        <v>27</v>
      </c>
      <c r="L18" t="s">
        <v>28</v>
      </c>
      <c r="N18" s="2"/>
      <c r="R18" s="5"/>
      <c r="S18" t="s">
        <v>27</v>
      </c>
      <c r="T18" t="s">
        <v>28</v>
      </c>
      <c r="V18" s="2"/>
    </row>
    <row r="19" spans="1:22" x14ac:dyDescent="0.3">
      <c r="B19" t="s">
        <v>50</v>
      </c>
      <c r="D19">
        <f>5000/15</f>
        <v>333.33333333333331</v>
      </c>
      <c r="E19" s="2">
        <v>1.3</v>
      </c>
      <c r="G19" s="2">
        <f>D19*E19</f>
        <v>433.33333333333331</v>
      </c>
      <c r="J19" s="5"/>
      <c r="K19">
        <f>312000/15</f>
        <v>20800</v>
      </c>
      <c r="L19" s="2">
        <v>1.3</v>
      </c>
      <c r="N19" s="2">
        <f>K19*L19</f>
        <v>27040</v>
      </c>
      <c r="R19" s="5"/>
      <c r="S19">
        <f>500000/15</f>
        <v>33333.333333333336</v>
      </c>
      <c r="T19" s="2">
        <v>1.3</v>
      </c>
      <c r="V19" s="2">
        <f>S19*T19</f>
        <v>43333.333333333336</v>
      </c>
    </row>
    <row r="20" spans="1:22" x14ac:dyDescent="0.3">
      <c r="D20" t="s">
        <v>51</v>
      </c>
      <c r="E20" s="2" t="s">
        <v>52</v>
      </c>
      <c r="G20" s="2"/>
      <c r="J20" s="5"/>
      <c r="L20" s="2"/>
      <c r="N20" s="2"/>
      <c r="R20" s="5"/>
      <c r="T20" s="2"/>
      <c r="V20" s="2"/>
    </row>
    <row r="21" spans="1:22" x14ac:dyDescent="0.3">
      <c r="B21" t="s">
        <v>59</v>
      </c>
      <c r="E21" s="2"/>
      <c r="G21" s="2"/>
      <c r="J21" s="5"/>
      <c r="K21" s="2">
        <v>10000</v>
      </c>
      <c r="M21">
        <v>0</v>
      </c>
      <c r="N21" s="2">
        <f>K21*M21</f>
        <v>0</v>
      </c>
      <c r="R21" s="5"/>
      <c r="S21" s="2">
        <v>10000</v>
      </c>
      <c r="U21">
        <v>2</v>
      </c>
      <c r="V21" s="2">
        <f>S21*U21</f>
        <v>20000</v>
      </c>
    </row>
    <row r="22" spans="1:22" x14ac:dyDescent="0.3">
      <c r="B22" t="s">
        <v>60</v>
      </c>
      <c r="E22" s="2"/>
      <c r="G22" s="2"/>
      <c r="J22" s="5"/>
      <c r="K22" s="2">
        <v>1500</v>
      </c>
      <c r="L22" s="2"/>
      <c r="M22">
        <v>3</v>
      </c>
      <c r="N22" s="2">
        <f>K22*M22</f>
        <v>4500</v>
      </c>
      <c r="R22" s="5"/>
      <c r="S22" s="2">
        <v>1500</v>
      </c>
      <c r="T22" s="2"/>
      <c r="U22">
        <v>5</v>
      </c>
      <c r="V22" s="2">
        <f>S22*U22</f>
        <v>7500</v>
      </c>
    </row>
    <row r="23" spans="1:22" x14ac:dyDescent="0.3">
      <c r="B23" t="s">
        <v>5</v>
      </c>
      <c r="G23" s="2">
        <v>1500</v>
      </c>
      <c r="J23" s="5"/>
      <c r="M23">
        <v>5</v>
      </c>
      <c r="N23" s="2">
        <f>M23*G23</f>
        <v>7500</v>
      </c>
      <c r="R23" s="5"/>
      <c r="U23">
        <v>7</v>
      </c>
      <c r="V23" s="2">
        <f>U23*G23</f>
        <v>10500</v>
      </c>
    </row>
    <row r="24" spans="1:22" x14ac:dyDescent="0.3">
      <c r="G24" s="2"/>
      <c r="J24" s="5"/>
      <c r="N24" s="2"/>
      <c r="R24" s="5"/>
      <c r="V24" s="2"/>
    </row>
    <row r="25" spans="1:22" x14ac:dyDescent="0.3">
      <c r="A25" s="1" t="s">
        <v>9</v>
      </c>
      <c r="D25" t="s">
        <v>31</v>
      </c>
      <c r="E25" t="s">
        <v>32</v>
      </c>
      <c r="F25" t="s">
        <v>30</v>
      </c>
      <c r="G25" s="2"/>
      <c r="J25" s="5"/>
      <c r="K25" t="s">
        <v>31</v>
      </c>
      <c r="L25" t="s">
        <v>32</v>
      </c>
      <c r="M25" t="s">
        <v>30</v>
      </c>
      <c r="N25" s="2"/>
      <c r="R25" s="5"/>
      <c r="S25" t="s">
        <v>31</v>
      </c>
      <c r="T25" t="s">
        <v>32</v>
      </c>
      <c r="U25" t="s">
        <v>30</v>
      </c>
      <c r="V25" s="2"/>
    </row>
    <row r="26" spans="1:22" x14ac:dyDescent="0.3">
      <c r="B26" t="s">
        <v>8</v>
      </c>
      <c r="D26" s="2">
        <v>3500</v>
      </c>
      <c r="E26">
        <v>9</v>
      </c>
      <c r="F26">
        <v>2</v>
      </c>
      <c r="G26" s="2">
        <f>D26*E26*F26</f>
        <v>63000</v>
      </c>
      <c r="J26" s="5"/>
      <c r="K26" s="2">
        <v>3500</v>
      </c>
      <c r="L26">
        <v>9</v>
      </c>
      <c r="M26">
        <v>8</v>
      </c>
      <c r="N26" s="2">
        <f>K26*L26*M26</f>
        <v>252000</v>
      </c>
      <c r="R26" s="5"/>
      <c r="S26" s="2">
        <v>3500</v>
      </c>
      <c r="T26">
        <v>9</v>
      </c>
      <c r="U26">
        <v>10</v>
      </c>
      <c r="V26" s="2">
        <f>S26*T26*U26</f>
        <v>315000</v>
      </c>
    </row>
    <row r="27" spans="1:22" x14ac:dyDescent="0.3">
      <c r="B27" t="s">
        <v>7</v>
      </c>
      <c r="D27" s="2">
        <v>3000</v>
      </c>
      <c r="E27">
        <v>9</v>
      </c>
      <c r="F27">
        <v>3</v>
      </c>
      <c r="G27" s="2">
        <f>D27*E27*F27</f>
        <v>81000</v>
      </c>
      <c r="J27" s="5"/>
      <c r="K27" s="2">
        <v>3000</v>
      </c>
      <c r="L27">
        <v>9</v>
      </c>
      <c r="M27">
        <v>10</v>
      </c>
      <c r="N27" s="2">
        <f>K27*L27*M27</f>
        <v>270000</v>
      </c>
      <c r="R27" s="5"/>
      <c r="S27" s="2">
        <v>3000</v>
      </c>
      <c r="T27">
        <v>9</v>
      </c>
      <c r="U27">
        <v>10</v>
      </c>
      <c r="V27" s="2">
        <f>S27*T27*U27</f>
        <v>270000</v>
      </c>
    </row>
    <row r="28" spans="1:22" x14ac:dyDescent="0.3">
      <c r="B28" t="s">
        <v>16</v>
      </c>
      <c r="D28" s="2"/>
      <c r="G28" s="2">
        <v>2000</v>
      </c>
      <c r="J28" s="5"/>
      <c r="K28" s="2"/>
      <c r="N28" s="2">
        <v>8000</v>
      </c>
      <c r="R28" s="5"/>
      <c r="S28" s="2"/>
      <c r="V28" s="2">
        <v>8000</v>
      </c>
    </row>
    <row r="29" spans="1:22" x14ac:dyDescent="0.3">
      <c r="A29" s="1" t="s">
        <v>10</v>
      </c>
      <c r="G29" s="2"/>
      <c r="J29" s="5"/>
      <c r="N29" s="2"/>
      <c r="R29" s="5"/>
      <c r="V29" s="2"/>
    </row>
    <row r="30" spans="1:22" x14ac:dyDescent="0.3">
      <c r="B30" t="s">
        <v>19</v>
      </c>
      <c r="G30" s="2">
        <v>10000</v>
      </c>
      <c r="J30" s="5"/>
      <c r="N30" s="2">
        <f>G30</f>
        <v>10000</v>
      </c>
      <c r="R30" s="5"/>
      <c r="V30" s="2">
        <f>G30</f>
        <v>10000</v>
      </c>
    </row>
    <row r="31" spans="1:22" x14ac:dyDescent="0.3">
      <c r="G31" s="2"/>
      <c r="J31" s="5"/>
      <c r="N31" s="2"/>
      <c r="R31" s="5"/>
      <c r="V31" s="2"/>
    </row>
    <row r="32" spans="1:22" x14ac:dyDescent="0.3">
      <c r="B32" t="s">
        <v>20</v>
      </c>
      <c r="C32" t="s">
        <v>37</v>
      </c>
      <c r="D32">
        <v>100000</v>
      </c>
      <c r="G32" s="2"/>
      <c r="J32" s="5"/>
      <c r="K32" t="s">
        <v>37</v>
      </c>
      <c r="L32">
        <v>600000</v>
      </c>
      <c r="R32" s="5"/>
      <c r="S32" t="s">
        <v>37</v>
      </c>
      <c r="T32">
        <v>850000</v>
      </c>
    </row>
    <row r="33" spans="1:22" x14ac:dyDescent="0.3">
      <c r="D33" t="s">
        <v>35</v>
      </c>
      <c r="F33" t="s">
        <v>36</v>
      </c>
      <c r="J33" s="5"/>
      <c r="L33" t="s">
        <v>35</v>
      </c>
      <c r="M33" t="s">
        <v>36</v>
      </c>
      <c r="R33" s="5"/>
      <c r="T33" t="s">
        <v>35</v>
      </c>
      <c r="U33" t="s">
        <v>36</v>
      </c>
    </row>
    <row r="34" spans="1:22" x14ac:dyDescent="0.3">
      <c r="C34" t="s">
        <v>11</v>
      </c>
      <c r="D34" s="2">
        <v>0.96897999999999995</v>
      </c>
      <c r="F34" s="3">
        <f>D32*(3/7)</f>
        <v>42857.142857142855</v>
      </c>
      <c r="G34" s="2">
        <f>D34*F34</f>
        <v>41527.714285714283</v>
      </c>
      <c r="J34" s="5"/>
      <c r="K34" t="s">
        <v>11</v>
      </c>
      <c r="L34" s="2">
        <v>0.96897999999999995</v>
      </c>
      <c r="M34" s="3">
        <f>L32*(3/7)</f>
        <v>257142.85714285713</v>
      </c>
      <c r="N34" s="2">
        <f>L34*M34</f>
        <v>249166.28571428568</v>
      </c>
      <c r="R34" s="5"/>
      <c r="S34" t="s">
        <v>11</v>
      </c>
      <c r="T34" s="2">
        <v>0.96897999999999995</v>
      </c>
      <c r="U34" s="3">
        <f>T32*(3/7)</f>
        <v>364285.71428571426</v>
      </c>
      <c r="V34" s="2">
        <f>T34*U34</f>
        <v>352985.57142857136</v>
      </c>
    </row>
    <row r="35" spans="1:22" x14ac:dyDescent="0.3">
      <c r="C35" t="s">
        <v>12</v>
      </c>
      <c r="D35" s="2">
        <v>1.0159800000000001</v>
      </c>
      <c r="F35" s="3">
        <f>D32*(2/7)</f>
        <v>28571.428571428569</v>
      </c>
      <c r="G35" s="2">
        <f>D35*F35</f>
        <v>29028</v>
      </c>
      <c r="J35" s="5"/>
      <c r="K35" t="s">
        <v>12</v>
      </c>
      <c r="L35" s="2">
        <v>1.0159800000000001</v>
      </c>
      <c r="M35" s="3">
        <f>L32*(2/7)</f>
        <v>171428.57142857142</v>
      </c>
      <c r="N35" s="2">
        <f>L35*M35</f>
        <v>174168</v>
      </c>
      <c r="R35" s="5"/>
      <c r="S35" t="s">
        <v>12</v>
      </c>
      <c r="T35" s="2">
        <v>1.0159800000000001</v>
      </c>
      <c r="U35" s="3">
        <f>T32*(2/7)</f>
        <v>242857.14285714284</v>
      </c>
      <c r="V35" s="2">
        <f>T35*U35</f>
        <v>246738</v>
      </c>
    </row>
    <row r="36" spans="1:22" x14ac:dyDescent="0.3">
      <c r="C36" t="s">
        <v>13</v>
      </c>
      <c r="D36" s="2">
        <v>1.06298</v>
      </c>
      <c r="F36" s="3">
        <f>D32*(2/7)</f>
        <v>28571.428571428569</v>
      </c>
      <c r="G36" s="2">
        <f>D36*F36</f>
        <v>30370.857142857141</v>
      </c>
      <c r="J36" s="5"/>
      <c r="K36" t="s">
        <v>13</v>
      </c>
      <c r="L36" s="2">
        <v>1.06298</v>
      </c>
      <c r="M36" s="3">
        <f>L32*(2/7)</f>
        <v>171428.57142857142</v>
      </c>
      <c r="N36" s="2">
        <f>L36*M36</f>
        <v>182225.14285714284</v>
      </c>
      <c r="R36" s="5"/>
      <c r="S36" t="s">
        <v>13</v>
      </c>
      <c r="T36" s="2">
        <v>1.06298</v>
      </c>
      <c r="U36" s="3">
        <f>T32*(2/7)</f>
        <v>242857.14285714284</v>
      </c>
      <c r="V36" s="2">
        <f>T36*U36</f>
        <v>258152.28571428571</v>
      </c>
    </row>
    <row r="37" spans="1:22" x14ac:dyDescent="0.3">
      <c r="C37" t="s">
        <v>14</v>
      </c>
      <c r="D37" s="2"/>
      <c r="F37" s="3">
        <f>D32*(1/7)</f>
        <v>14285.714285714284</v>
      </c>
      <c r="G37" s="2">
        <f>D37*F37</f>
        <v>0</v>
      </c>
      <c r="J37" s="5"/>
      <c r="K37" t="s">
        <v>14</v>
      </c>
      <c r="L37" s="2"/>
      <c r="M37" s="3">
        <f>L32*(1/7)</f>
        <v>85714.28571428571</v>
      </c>
      <c r="N37" s="2">
        <f>L37*M37</f>
        <v>0</v>
      </c>
      <c r="R37" s="5"/>
      <c r="S37" t="s">
        <v>14</v>
      </c>
      <c r="T37" s="2"/>
      <c r="U37" s="3">
        <f>T32*(1/7)</f>
        <v>121428.57142857142</v>
      </c>
      <c r="V37" s="2">
        <f>T37*U37</f>
        <v>0</v>
      </c>
    </row>
    <row r="38" spans="1:22" x14ac:dyDescent="0.3">
      <c r="B38" t="s">
        <v>65</v>
      </c>
      <c r="D38" s="8">
        <v>0.06</v>
      </c>
      <c r="F38" s="3"/>
      <c r="G38" s="2">
        <f>D38*G60</f>
        <v>22285.714285714283</v>
      </c>
      <c r="J38" s="5"/>
      <c r="K38">
        <v>0.06</v>
      </c>
      <c r="L38" s="2"/>
      <c r="M38" s="3"/>
      <c r="N38" s="2">
        <f>K38*N60</f>
        <v>133714.28571428571</v>
      </c>
      <c r="R38" s="5"/>
      <c r="S38">
        <v>0.06</v>
      </c>
      <c r="T38" s="2"/>
      <c r="U38" s="3"/>
      <c r="V38" s="2">
        <f>S38*V60</f>
        <v>189428.57142857139</v>
      </c>
    </row>
    <row r="39" spans="1:22" x14ac:dyDescent="0.3">
      <c r="A39" s="1" t="s">
        <v>22</v>
      </c>
      <c r="G39" s="2"/>
      <c r="J39" s="5"/>
      <c r="N39" s="2"/>
      <c r="R39" s="5"/>
      <c r="V39" s="2"/>
    </row>
    <row r="40" spans="1:22" x14ac:dyDescent="0.3">
      <c r="B40" t="s">
        <v>23</v>
      </c>
      <c r="G40" s="2">
        <v>1300</v>
      </c>
      <c r="J40" s="5"/>
      <c r="M40">
        <v>5</v>
      </c>
      <c r="N40" s="2">
        <f>M40*G40</f>
        <v>6500</v>
      </c>
      <c r="R40" s="5"/>
      <c r="U40">
        <v>7</v>
      </c>
      <c r="V40" s="2">
        <f>U40*G40</f>
        <v>9100</v>
      </c>
    </row>
    <row r="41" spans="1:22" x14ac:dyDescent="0.3">
      <c r="B41" t="s">
        <v>54</v>
      </c>
      <c r="G41" s="2"/>
      <c r="J41" s="5"/>
      <c r="L41" s="2">
        <v>5000</v>
      </c>
      <c r="M41">
        <v>2</v>
      </c>
      <c r="N41" s="2">
        <f>L41*M41</f>
        <v>10000</v>
      </c>
      <c r="R41" s="5"/>
      <c r="T41" s="2">
        <v>5000</v>
      </c>
      <c r="U41">
        <v>4</v>
      </c>
      <c r="V41" s="2">
        <f>T41*U41</f>
        <v>20000</v>
      </c>
    </row>
    <row r="42" spans="1:22" x14ac:dyDescent="0.3">
      <c r="A42" s="1" t="s">
        <v>33</v>
      </c>
      <c r="D42" t="s">
        <v>63</v>
      </c>
      <c r="G42" s="2"/>
      <c r="J42" s="5"/>
      <c r="K42" t="s">
        <v>63</v>
      </c>
      <c r="N42" s="2"/>
      <c r="R42" s="5"/>
      <c r="S42" t="s">
        <v>63</v>
      </c>
      <c r="V42" s="2"/>
    </row>
    <row r="43" spans="1:22" x14ac:dyDescent="0.3">
      <c r="B43" t="s">
        <v>34</v>
      </c>
      <c r="D43">
        <v>0.95</v>
      </c>
      <c r="G43" s="2">
        <f>D43*G56</f>
        <v>27142.857142857138</v>
      </c>
      <c r="J43" s="5"/>
      <c r="K43">
        <v>0.95</v>
      </c>
      <c r="N43" s="2">
        <f>K43*N56</f>
        <v>162857.14285714284</v>
      </c>
      <c r="R43" s="5"/>
      <c r="S43">
        <v>0.95</v>
      </c>
      <c r="V43" s="2">
        <f>S43*V56</f>
        <v>230714.28571428568</v>
      </c>
    </row>
    <row r="44" spans="1:22" x14ac:dyDescent="0.3">
      <c r="A44" s="1" t="s">
        <v>79</v>
      </c>
      <c r="G44" s="2"/>
      <c r="J44" s="5"/>
      <c r="K44" t="s">
        <v>63</v>
      </c>
      <c r="N44" s="2"/>
      <c r="R44" s="5"/>
      <c r="S44" t="s">
        <v>63</v>
      </c>
      <c r="V44" s="2"/>
    </row>
    <row r="45" spans="1:22" x14ac:dyDescent="0.3">
      <c r="B45" t="s">
        <v>80</v>
      </c>
      <c r="G45" s="2"/>
      <c r="J45" s="5"/>
      <c r="K45">
        <v>0.05</v>
      </c>
      <c r="N45" s="2">
        <f>K45*(SUM(N6:N38)+N43)</f>
        <v>104558.54285714286</v>
      </c>
      <c r="R45" s="5"/>
      <c r="S45">
        <v>0.05</v>
      </c>
      <c r="V45" s="2">
        <f>S45*(SUM(V6:V38)+V43)</f>
        <v>132617.60238095239</v>
      </c>
    </row>
    <row r="46" spans="1:22" x14ac:dyDescent="0.3">
      <c r="G46" s="2"/>
      <c r="J46" s="5"/>
      <c r="N46" s="2"/>
      <c r="R46" s="5"/>
      <c r="V46" s="2"/>
    </row>
    <row r="47" spans="1:22" x14ac:dyDescent="0.3">
      <c r="E47" s="1" t="s">
        <v>38</v>
      </c>
      <c r="G47" s="2">
        <f>SUM(G5:G46)</f>
        <v>604588.47619047621</v>
      </c>
      <c r="J47" s="5"/>
      <c r="M47" s="1" t="s">
        <v>38</v>
      </c>
      <c r="N47" s="2">
        <f>SUM(N5:N46)</f>
        <v>2212229.4000000004</v>
      </c>
      <c r="R47" s="5"/>
      <c r="U47" s="1" t="s">
        <v>38</v>
      </c>
      <c r="V47" s="2">
        <f>SUM(V5:V46)</f>
        <v>2814069.65</v>
      </c>
    </row>
    <row r="48" spans="1:22" x14ac:dyDescent="0.3">
      <c r="E48" t="s">
        <v>39</v>
      </c>
      <c r="G48" s="2">
        <f>G47/D32</f>
        <v>6.0458847619047624</v>
      </c>
      <c r="J48" s="5"/>
      <c r="M48" t="s">
        <v>39</v>
      </c>
      <c r="N48" s="2">
        <f>N47/L32</f>
        <v>3.6870490000000005</v>
      </c>
      <c r="R48" s="5"/>
      <c r="U48" t="s">
        <v>39</v>
      </c>
      <c r="V48" s="2">
        <f>V47/T32</f>
        <v>3.3106701764705879</v>
      </c>
    </row>
    <row r="49" spans="1:26" x14ac:dyDescent="0.3">
      <c r="G49" s="2"/>
      <c r="J49" s="5"/>
      <c r="N49" s="2"/>
      <c r="R49" s="5"/>
      <c r="V49" s="2"/>
    </row>
    <row r="50" spans="1:26" ht="19.8" x14ac:dyDescent="0.4">
      <c r="A50" s="4" t="s">
        <v>41</v>
      </c>
      <c r="B50" s="5"/>
      <c r="C50" s="5"/>
      <c r="D50" s="5"/>
      <c r="E50" s="5"/>
      <c r="F50" s="5"/>
      <c r="G50" s="6"/>
      <c r="H50" s="5"/>
      <c r="I50" s="5"/>
      <c r="J50" s="5"/>
      <c r="K50" s="5"/>
      <c r="L50" s="5"/>
      <c r="M50" s="5"/>
      <c r="N50" s="6"/>
      <c r="O50" s="5"/>
      <c r="P50" s="5"/>
      <c r="Q50" s="5"/>
      <c r="R50" s="5"/>
      <c r="S50" s="5"/>
      <c r="T50" s="5"/>
      <c r="U50" s="5"/>
      <c r="V50" s="6"/>
      <c r="W50" s="5"/>
      <c r="X50" s="5"/>
      <c r="Y50" s="5"/>
      <c r="Z50" s="5"/>
    </row>
    <row r="51" spans="1:26" x14ac:dyDescent="0.3">
      <c r="J51" s="5"/>
      <c r="N51" s="2"/>
      <c r="R51" s="5"/>
      <c r="V51" s="2"/>
    </row>
    <row r="52" spans="1:26" x14ac:dyDescent="0.3">
      <c r="A52" s="1" t="s">
        <v>10</v>
      </c>
      <c r="D52" t="s">
        <v>42</v>
      </c>
      <c r="F52" t="s">
        <v>36</v>
      </c>
      <c r="J52" s="5"/>
      <c r="K52" t="s">
        <v>42</v>
      </c>
      <c r="M52" t="s">
        <v>36</v>
      </c>
      <c r="N52" s="2"/>
      <c r="R52" s="5"/>
      <c r="S52" t="s">
        <v>42</v>
      </c>
      <c r="U52" t="s">
        <v>36</v>
      </c>
      <c r="V52" s="2"/>
    </row>
    <row r="53" spans="1:26" x14ac:dyDescent="0.3">
      <c r="B53" t="s">
        <v>11</v>
      </c>
      <c r="D53" s="2">
        <v>3</v>
      </c>
      <c r="F53" s="3">
        <f>F34</f>
        <v>42857.142857142855</v>
      </c>
      <c r="G53" s="2">
        <f>D53*F53</f>
        <v>128571.42857142857</v>
      </c>
      <c r="J53" s="5"/>
      <c r="K53" s="2">
        <v>3</v>
      </c>
      <c r="M53" s="3">
        <f>M34</f>
        <v>257142.85714285713</v>
      </c>
      <c r="N53" s="2">
        <f>K53*M53</f>
        <v>771428.57142857136</v>
      </c>
      <c r="R53" s="5"/>
      <c r="S53" s="2">
        <v>3</v>
      </c>
      <c r="U53" s="3">
        <f>U34</f>
        <v>364285.71428571426</v>
      </c>
      <c r="V53" s="2">
        <f>S53*U53</f>
        <v>1092857.1428571427</v>
      </c>
    </row>
    <row r="54" spans="1:26" x14ac:dyDescent="0.3">
      <c r="B54" t="s">
        <v>12</v>
      </c>
      <c r="D54" s="2">
        <v>3.5</v>
      </c>
      <c r="F54" s="3">
        <f>F35</f>
        <v>28571.428571428569</v>
      </c>
      <c r="G54" s="2">
        <f>D54*F54</f>
        <v>99999.999999999985</v>
      </c>
      <c r="J54" s="5"/>
      <c r="K54" s="2">
        <v>3.5</v>
      </c>
      <c r="M54" s="3">
        <f>M35</f>
        <v>171428.57142857142</v>
      </c>
      <c r="N54" s="2">
        <f>K54*M54</f>
        <v>600000</v>
      </c>
      <c r="R54" s="5"/>
      <c r="S54" s="2">
        <v>3.5</v>
      </c>
      <c r="U54" s="3">
        <f>U35</f>
        <v>242857.14285714284</v>
      </c>
      <c r="V54" s="2">
        <f>S54*U54</f>
        <v>850000</v>
      </c>
    </row>
    <row r="55" spans="1:26" x14ac:dyDescent="0.3">
      <c r="B55" t="s">
        <v>13</v>
      </c>
      <c r="D55" s="2">
        <v>4</v>
      </c>
      <c r="F55" s="3">
        <f>F36</f>
        <v>28571.428571428569</v>
      </c>
      <c r="G55" s="2">
        <f>D55*F55</f>
        <v>114285.71428571428</v>
      </c>
      <c r="J55" s="5"/>
      <c r="K55" s="2">
        <v>4</v>
      </c>
      <c r="M55" s="3">
        <f>M36</f>
        <v>171428.57142857142</v>
      </c>
      <c r="N55" s="2">
        <f>K55*M55</f>
        <v>685714.28571428568</v>
      </c>
      <c r="R55" s="5"/>
      <c r="S55" s="2">
        <v>4</v>
      </c>
      <c r="U55" s="3">
        <f>U36</f>
        <v>242857.14285714284</v>
      </c>
      <c r="V55" s="2">
        <f>S55*U55</f>
        <v>971428.57142857136</v>
      </c>
    </row>
    <row r="56" spans="1:26" x14ac:dyDescent="0.3">
      <c r="B56" t="s">
        <v>14</v>
      </c>
      <c r="D56" s="2">
        <v>2</v>
      </c>
      <c r="F56" s="3">
        <f>F37</f>
        <v>14285.714285714284</v>
      </c>
      <c r="G56" s="2">
        <f>D56*F56</f>
        <v>28571.428571428569</v>
      </c>
      <c r="J56" s="5"/>
      <c r="K56" s="2">
        <v>2</v>
      </c>
      <c r="M56" s="3">
        <f>M37</f>
        <v>85714.28571428571</v>
      </c>
      <c r="N56" s="2">
        <f>K56*M56</f>
        <v>171428.57142857142</v>
      </c>
      <c r="R56" s="5"/>
      <c r="S56" s="2">
        <v>2</v>
      </c>
      <c r="U56" s="3">
        <f>U37</f>
        <v>121428.57142857142</v>
      </c>
      <c r="V56" s="2">
        <f>S56*U56</f>
        <v>242857.14285714284</v>
      </c>
    </row>
    <row r="57" spans="1:26" x14ac:dyDescent="0.3">
      <c r="J57" s="5"/>
      <c r="N57" s="2"/>
      <c r="R57" s="5"/>
      <c r="V57" s="2"/>
    </row>
    <row r="58" spans="1:26" x14ac:dyDescent="0.3">
      <c r="J58" s="5"/>
      <c r="N58" s="2"/>
      <c r="R58" s="5"/>
      <c r="V58" s="2"/>
    </row>
    <row r="59" spans="1:26" x14ac:dyDescent="0.3">
      <c r="J59" s="5"/>
      <c r="N59" s="2"/>
      <c r="R59" s="5"/>
      <c r="V59" s="2"/>
    </row>
    <row r="60" spans="1:26" x14ac:dyDescent="0.3">
      <c r="E60" s="1" t="s">
        <v>38</v>
      </c>
      <c r="G60" s="2">
        <f>SUM(G53:G56)</f>
        <v>371428.57142857142</v>
      </c>
      <c r="J60" s="5"/>
      <c r="L60" s="1" t="s">
        <v>38</v>
      </c>
      <c r="N60" s="2">
        <f>SUM(N53:N56)</f>
        <v>2228571.4285714286</v>
      </c>
      <c r="R60" s="5"/>
      <c r="T60" s="1" t="s">
        <v>38</v>
      </c>
      <c r="V60" s="2">
        <f>SUM(V53:V56)</f>
        <v>3157142.8571428568</v>
      </c>
    </row>
    <row r="61" spans="1:26" x14ac:dyDescent="0.3">
      <c r="J61" s="5"/>
      <c r="N61" s="2"/>
      <c r="R61" s="5"/>
      <c r="V61" s="2"/>
    </row>
    <row r="62" spans="1:26" x14ac:dyDescent="0.3">
      <c r="J62" s="5"/>
      <c r="N62" s="2"/>
      <c r="R62" s="5"/>
      <c r="V62" s="2"/>
    </row>
    <row r="63" spans="1:26" ht="19.8" x14ac:dyDescent="0.4">
      <c r="A63" s="4" t="s">
        <v>43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  <c r="O63" s="5"/>
      <c r="P63" s="5"/>
      <c r="Q63" s="5"/>
      <c r="R63" s="5"/>
      <c r="S63" s="5"/>
      <c r="T63" s="5"/>
      <c r="U63" s="5"/>
      <c r="V63" s="6"/>
      <c r="W63" s="5"/>
      <c r="X63" s="5"/>
      <c r="Y63" s="5"/>
      <c r="Z63" s="5"/>
    </row>
    <row r="64" spans="1:26" x14ac:dyDescent="0.3">
      <c r="J64" s="5"/>
      <c r="N64" s="2"/>
      <c r="R64" s="5"/>
      <c r="V64" s="2"/>
    </row>
    <row r="65" spans="2:22" x14ac:dyDescent="0.3">
      <c r="B65" t="s">
        <v>44</v>
      </c>
      <c r="G65" s="2">
        <f>G60-G47</f>
        <v>-233159.90476190479</v>
      </c>
      <c r="J65" s="5"/>
      <c r="L65" t="s">
        <v>44</v>
      </c>
      <c r="N65" s="2">
        <f>N60-N47</f>
        <v>16342.028571428265</v>
      </c>
      <c r="R65" s="5"/>
      <c r="T65" t="s">
        <v>44</v>
      </c>
      <c r="V65" s="2">
        <f>V60-V47</f>
        <v>343073.2071428569</v>
      </c>
    </row>
    <row r="66" spans="2:22" x14ac:dyDescent="0.3">
      <c r="J66" s="5"/>
      <c r="L66" t="s">
        <v>70</v>
      </c>
      <c r="N66" s="2"/>
      <c r="R66" s="5"/>
      <c r="T66" t="s">
        <v>70</v>
      </c>
      <c r="V66" s="2"/>
    </row>
    <row r="67" spans="2:22" x14ac:dyDescent="0.3">
      <c r="J67" s="5"/>
      <c r="M67" t="s">
        <v>18</v>
      </c>
      <c r="N67" s="2">
        <f>N40+13000</f>
        <v>19500</v>
      </c>
      <c r="R67" s="5"/>
      <c r="U67" t="s">
        <v>18</v>
      </c>
      <c r="V67" s="2">
        <f>N67+V40</f>
        <v>28600</v>
      </c>
    </row>
    <row r="68" spans="2:22" x14ac:dyDescent="0.3">
      <c r="J68" s="5"/>
      <c r="M68" t="s">
        <v>71</v>
      </c>
      <c r="N68" s="2">
        <f>N41+20000</f>
        <v>30000</v>
      </c>
      <c r="R68" s="5"/>
      <c r="U68" t="s">
        <v>71</v>
      </c>
      <c r="V68" s="2">
        <f>N68+V41</f>
        <v>50000</v>
      </c>
    </row>
    <row r="69" spans="2:22" x14ac:dyDescent="0.3">
      <c r="J69" s="5"/>
      <c r="R69" s="5"/>
    </row>
    <row r="71" spans="2:22" x14ac:dyDescent="0.3">
      <c r="L71" t="s">
        <v>72</v>
      </c>
      <c r="N71" s="2">
        <f xml:space="preserve"> SUM(N65:N68)</f>
        <v>65842.028571428265</v>
      </c>
      <c r="T71" t="s">
        <v>73</v>
      </c>
      <c r="V71" s="2">
        <f xml:space="preserve"> SUM(V65:V68)</f>
        <v>421673.2071428569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opLeftCell="D46" zoomScale="90" zoomScaleNormal="90" workbookViewId="0">
      <selection activeCell="I46" sqref="I46"/>
    </sheetView>
  </sheetViews>
  <sheetFormatPr defaultRowHeight="14.4" x14ac:dyDescent="0.3"/>
  <cols>
    <col min="1" max="1" width="15.6640625" bestFit="1" customWidth="1"/>
    <col min="2" max="2" width="23.6640625" bestFit="1" customWidth="1"/>
    <col min="3" max="3" width="19.88671875" customWidth="1"/>
    <col min="4" max="4" width="21.109375" customWidth="1"/>
    <col min="5" max="5" width="14.21875" bestFit="1" customWidth="1"/>
    <col min="6" max="6" width="16.44140625" bestFit="1" customWidth="1"/>
    <col min="7" max="7" width="12.109375" customWidth="1"/>
    <col min="8" max="8" width="19.44140625" customWidth="1"/>
    <col min="16" max="16" width="20" customWidth="1"/>
  </cols>
  <sheetData>
    <row r="1" spans="1:9" ht="19.8" x14ac:dyDescent="0.4">
      <c r="A1" s="4" t="s">
        <v>40</v>
      </c>
      <c r="B1" s="5"/>
      <c r="C1" s="5"/>
      <c r="D1" s="5"/>
      <c r="E1" s="5"/>
      <c r="F1" s="5"/>
      <c r="G1" s="5"/>
      <c r="H1" s="5"/>
      <c r="I1" s="5"/>
    </row>
    <row r="2" spans="1:9" x14ac:dyDescent="0.3">
      <c r="H2" s="1" t="s">
        <v>47</v>
      </c>
    </row>
    <row r="3" spans="1:9" x14ac:dyDescent="0.3">
      <c r="H3" t="s">
        <v>77</v>
      </c>
    </row>
    <row r="4" spans="1:9" x14ac:dyDescent="0.3">
      <c r="A4" s="1" t="s">
        <v>0</v>
      </c>
      <c r="F4" t="s">
        <v>49</v>
      </c>
      <c r="G4" t="s">
        <v>45</v>
      </c>
    </row>
    <row r="5" spans="1:9" x14ac:dyDescent="0.3">
      <c r="B5" t="s">
        <v>2</v>
      </c>
      <c r="F5" s="2">
        <v>13000</v>
      </c>
      <c r="G5">
        <v>5</v>
      </c>
      <c r="H5" s="2">
        <f>F5*G5</f>
        <v>65000</v>
      </c>
    </row>
    <row r="6" spans="1:9" x14ac:dyDescent="0.3">
      <c r="B6" t="s">
        <v>3</v>
      </c>
      <c r="H6" s="2"/>
    </row>
    <row r="7" spans="1:9" x14ac:dyDescent="0.3">
      <c r="C7" t="s">
        <v>17</v>
      </c>
      <c r="F7" s="2">
        <v>50000</v>
      </c>
      <c r="H7" s="2">
        <v>50000</v>
      </c>
    </row>
    <row r="8" spans="1:9" x14ac:dyDescent="0.3">
      <c r="C8" t="s">
        <v>18</v>
      </c>
      <c r="F8" s="2"/>
      <c r="H8" s="2">
        <v>80000</v>
      </c>
    </row>
    <row r="9" spans="1:9" x14ac:dyDescent="0.3">
      <c r="H9" s="2"/>
    </row>
    <row r="10" spans="1:9" x14ac:dyDescent="0.3">
      <c r="B10" t="s">
        <v>15</v>
      </c>
      <c r="H10" s="2">
        <v>500000</v>
      </c>
    </row>
    <row r="11" spans="1:9" x14ac:dyDescent="0.3">
      <c r="H11" s="2"/>
    </row>
    <row r="12" spans="1:9" x14ac:dyDescent="0.3">
      <c r="A12" s="1" t="s">
        <v>24</v>
      </c>
      <c r="D12" t="s">
        <v>26</v>
      </c>
      <c r="E12" t="s">
        <v>25</v>
      </c>
      <c r="H12" s="2"/>
    </row>
    <row r="13" spans="1:9" x14ac:dyDescent="0.3">
      <c r="B13" t="s">
        <v>7</v>
      </c>
      <c r="D13" s="2">
        <v>100</v>
      </c>
      <c r="E13">
        <v>50</v>
      </c>
      <c r="G13">
        <v>1</v>
      </c>
      <c r="H13" s="2">
        <f>D13*E13*G13</f>
        <v>5000</v>
      </c>
    </row>
    <row r="14" spans="1:9" x14ac:dyDescent="0.3">
      <c r="B14" t="s">
        <v>6</v>
      </c>
      <c r="D14" s="2">
        <v>150</v>
      </c>
      <c r="E14">
        <v>100</v>
      </c>
      <c r="G14">
        <v>2</v>
      </c>
      <c r="H14" s="2">
        <f>D14*E14*G14</f>
        <v>30000</v>
      </c>
    </row>
    <row r="15" spans="1:9" x14ac:dyDescent="0.3">
      <c r="B15" t="s">
        <v>29</v>
      </c>
      <c r="D15" s="2">
        <v>200</v>
      </c>
      <c r="E15">
        <v>10</v>
      </c>
      <c r="G15">
        <v>13</v>
      </c>
      <c r="H15" s="2">
        <f>D15*E15*G15</f>
        <v>26000</v>
      </c>
    </row>
    <row r="17" spans="1:8" x14ac:dyDescent="0.3">
      <c r="A17" s="1" t="s">
        <v>4</v>
      </c>
      <c r="D17" t="s">
        <v>27</v>
      </c>
      <c r="E17" t="s">
        <v>28</v>
      </c>
      <c r="H17" s="2"/>
    </row>
    <row r="18" spans="1:8" x14ac:dyDescent="0.3">
      <c r="B18" t="s">
        <v>50</v>
      </c>
      <c r="D18">
        <f>850000/15</f>
        <v>56666.666666666664</v>
      </c>
      <c r="E18" s="2">
        <v>1.3</v>
      </c>
      <c r="H18" s="2">
        <f>D18*E18</f>
        <v>73666.666666666672</v>
      </c>
    </row>
    <row r="19" spans="1:8" x14ac:dyDescent="0.3">
      <c r="D19" t="s">
        <v>51</v>
      </c>
      <c r="E19" s="2" t="s">
        <v>52</v>
      </c>
      <c r="H19" s="2"/>
    </row>
    <row r="20" spans="1:8" x14ac:dyDescent="0.3">
      <c r="B20" t="s">
        <v>59</v>
      </c>
      <c r="D20" s="2">
        <v>10000</v>
      </c>
      <c r="G20">
        <v>5</v>
      </c>
      <c r="H20" s="7">
        <f>D20*G20</f>
        <v>50000</v>
      </c>
    </row>
    <row r="21" spans="1:8" x14ac:dyDescent="0.3">
      <c r="B21" s="2" t="s">
        <v>61</v>
      </c>
      <c r="D21" s="2">
        <v>1500</v>
      </c>
      <c r="E21" s="2"/>
      <c r="G21">
        <v>10</v>
      </c>
      <c r="H21" s="7">
        <f>D21*G21</f>
        <v>15000</v>
      </c>
    </row>
    <row r="22" spans="1:8" x14ac:dyDescent="0.3">
      <c r="B22" t="s">
        <v>5</v>
      </c>
      <c r="F22" s="2">
        <v>1500</v>
      </c>
      <c r="G22">
        <v>13</v>
      </c>
      <c r="H22" s="2">
        <f>F22*G22</f>
        <v>19500</v>
      </c>
    </row>
    <row r="23" spans="1:8" x14ac:dyDescent="0.3">
      <c r="H23" s="2"/>
    </row>
    <row r="24" spans="1:8" x14ac:dyDescent="0.3">
      <c r="A24" s="1" t="s">
        <v>9</v>
      </c>
      <c r="D24" t="s">
        <v>31</v>
      </c>
      <c r="E24" t="s">
        <v>32</v>
      </c>
      <c r="F24" t="s">
        <v>30</v>
      </c>
      <c r="H24" s="2"/>
    </row>
    <row r="25" spans="1:8" x14ac:dyDescent="0.3">
      <c r="B25" t="s">
        <v>8</v>
      </c>
      <c r="D25" s="2">
        <v>3500</v>
      </c>
      <c r="E25">
        <v>9</v>
      </c>
      <c r="F25">
        <v>17</v>
      </c>
      <c r="H25" s="2">
        <f>D25*E25*F25</f>
        <v>535500</v>
      </c>
    </row>
    <row r="26" spans="1:8" x14ac:dyDescent="0.3">
      <c r="B26" t="s">
        <v>7</v>
      </c>
      <c r="D26" s="2">
        <v>3000</v>
      </c>
      <c r="E26">
        <v>9</v>
      </c>
      <c r="F26">
        <v>12</v>
      </c>
      <c r="H26" s="2">
        <f>D26*E26*F26</f>
        <v>324000</v>
      </c>
    </row>
    <row r="27" spans="1:8" x14ac:dyDescent="0.3">
      <c r="B27" t="s">
        <v>16</v>
      </c>
      <c r="D27" s="2"/>
      <c r="H27" s="2">
        <v>35000</v>
      </c>
    </row>
    <row r="28" spans="1:8" x14ac:dyDescent="0.3">
      <c r="A28" s="1" t="s">
        <v>10</v>
      </c>
      <c r="H28" s="2"/>
    </row>
    <row r="29" spans="1:8" x14ac:dyDescent="0.3">
      <c r="B29" t="s">
        <v>19</v>
      </c>
      <c r="H29" s="2">
        <v>25000</v>
      </c>
    </row>
    <row r="30" spans="1:8" x14ac:dyDescent="0.3">
      <c r="H30" s="2"/>
    </row>
    <row r="31" spans="1:8" x14ac:dyDescent="0.3">
      <c r="B31" t="s">
        <v>20</v>
      </c>
      <c r="C31" t="s">
        <v>37</v>
      </c>
      <c r="D31">
        <v>1100000</v>
      </c>
      <c r="H31" s="2"/>
    </row>
    <row r="32" spans="1:8" x14ac:dyDescent="0.3">
      <c r="D32" t="s">
        <v>35</v>
      </c>
      <c r="F32" t="s">
        <v>36</v>
      </c>
    </row>
    <row r="33" spans="1:8" x14ac:dyDescent="0.3">
      <c r="C33" t="s">
        <v>11</v>
      </c>
      <c r="D33" s="2">
        <v>0.96897999999999995</v>
      </c>
      <c r="F33" s="3">
        <f>D31*(3/7)</f>
        <v>471428.57142857142</v>
      </c>
      <c r="H33" s="2">
        <f>D33*F33</f>
        <v>456804.8571428571</v>
      </c>
    </row>
    <row r="34" spans="1:8" x14ac:dyDescent="0.3">
      <c r="C34" t="s">
        <v>12</v>
      </c>
      <c r="D34" s="2">
        <v>1.0159800000000001</v>
      </c>
      <c r="F34" s="3">
        <f>D31*(2/7)</f>
        <v>314285.71428571426</v>
      </c>
      <c r="H34" s="2">
        <f>D34*F34</f>
        <v>319308</v>
      </c>
    </row>
    <row r="35" spans="1:8" x14ac:dyDescent="0.3">
      <c r="C35" t="s">
        <v>13</v>
      </c>
      <c r="D35" s="2">
        <v>1.06298</v>
      </c>
      <c r="F35" s="3">
        <f>D31*(2/7)</f>
        <v>314285.71428571426</v>
      </c>
      <c r="H35" s="2">
        <f>D35*F35</f>
        <v>334079.42857142858</v>
      </c>
    </row>
    <row r="36" spans="1:8" x14ac:dyDescent="0.3">
      <c r="C36" t="s">
        <v>14</v>
      </c>
      <c r="D36" s="2"/>
      <c r="F36" s="3">
        <f>D31*(1/7)</f>
        <v>157142.85714285713</v>
      </c>
      <c r="H36" s="2">
        <f>D36*F36</f>
        <v>0</v>
      </c>
    </row>
    <row r="37" spans="1:8" x14ac:dyDescent="0.3">
      <c r="B37" t="s">
        <v>65</v>
      </c>
      <c r="D37">
        <v>0.06</v>
      </c>
      <c r="F37" s="3"/>
      <c r="H37" s="2">
        <f>D37*H60</f>
        <v>245142.85714285716</v>
      </c>
    </row>
    <row r="38" spans="1:8" x14ac:dyDescent="0.3">
      <c r="A38" s="1" t="s">
        <v>22</v>
      </c>
      <c r="H38" s="2"/>
    </row>
    <row r="39" spans="1:8" x14ac:dyDescent="0.3">
      <c r="B39" t="s">
        <v>23</v>
      </c>
      <c r="F39" s="2">
        <v>1300</v>
      </c>
      <c r="G39">
        <v>13</v>
      </c>
      <c r="H39" s="2">
        <f>F39*G39</f>
        <v>16900</v>
      </c>
    </row>
    <row r="40" spans="1:8" x14ac:dyDescent="0.3">
      <c r="B40" t="s">
        <v>55</v>
      </c>
      <c r="F40" s="2">
        <v>5000</v>
      </c>
      <c r="G40">
        <v>9</v>
      </c>
      <c r="H40" s="2">
        <f>F40*G40</f>
        <v>45000</v>
      </c>
    </row>
    <row r="41" spans="1:8" x14ac:dyDescent="0.3">
      <c r="A41" s="1" t="s">
        <v>33</v>
      </c>
      <c r="E41" t="s">
        <v>63</v>
      </c>
      <c r="H41" s="2"/>
    </row>
    <row r="42" spans="1:8" x14ac:dyDescent="0.3">
      <c r="B42" t="s">
        <v>34</v>
      </c>
      <c r="E42">
        <v>0.95</v>
      </c>
      <c r="H42" s="2">
        <f>E42*H55</f>
        <v>298571.42857142852</v>
      </c>
    </row>
    <row r="43" spans="1:8" x14ac:dyDescent="0.3">
      <c r="A43" s="1" t="s">
        <v>79</v>
      </c>
      <c r="E43" t="s">
        <v>63</v>
      </c>
      <c r="H43" s="2"/>
    </row>
    <row r="44" spans="1:8" x14ac:dyDescent="0.3">
      <c r="B44" t="s">
        <v>80</v>
      </c>
      <c r="E44">
        <v>0.05</v>
      </c>
      <c r="H44" s="2">
        <f>E44*(SUM(H4:H37)+H42)</f>
        <v>174378.66190476192</v>
      </c>
    </row>
    <row r="45" spans="1:8" x14ac:dyDescent="0.3">
      <c r="H45" s="2"/>
    </row>
    <row r="46" spans="1:8" x14ac:dyDescent="0.3">
      <c r="E46" s="1" t="s">
        <v>38</v>
      </c>
      <c r="H46" s="2">
        <f>SUM(H4:H45)</f>
        <v>3723851.9000000004</v>
      </c>
    </row>
    <row r="47" spans="1:8" x14ac:dyDescent="0.3">
      <c r="E47" t="s">
        <v>39</v>
      </c>
      <c r="H47" s="2">
        <f>H46/D31</f>
        <v>3.3853199090909096</v>
      </c>
    </row>
    <row r="48" spans="1:8" x14ac:dyDescent="0.3">
      <c r="H48" s="2"/>
    </row>
    <row r="49" spans="1:16" ht="19.8" x14ac:dyDescent="0.4">
      <c r="A49" s="4" t="s">
        <v>41</v>
      </c>
      <c r="B49" s="5"/>
      <c r="C49" s="5"/>
      <c r="D49" s="5"/>
      <c r="E49" s="5"/>
      <c r="F49" s="5"/>
      <c r="G49" s="5"/>
      <c r="H49" s="6"/>
      <c r="I49" s="5"/>
    </row>
    <row r="51" spans="1:16" x14ac:dyDescent="0.3">
      <c r="A51" s="1" t="s">
        <v>10</v>
      </c>
      <c r="D51" t="s">
        <v>42</v>
      </c>
      <c r="F51" t="s">
        <v>36</v>
      </c>
    </row>
    <row r="52" spans="1:16" x14ac:dyDescent="0.3">
      <c r="B52" t="s">
        <v>11</v>
      </c>
      <c r="D52" s="2">
        <v>3</v>
      </c>
      <c r="F52" s="3">
        <f>F33</f>
        <v>471428.57142857142</v>
      </c>
      <c r="H52" s="2">
        <f>D52*F52</f>
        <v>1414285.7142857143</v>
      </c>
    </row>
    <row r="53" spans="1:16" x14ac:dyDescent="0.3">
      <c r="B53" t="s">
        <v>12</v>
      </c>
      <c r="D53" s="2">
        <v>3.5</v>
      </c>
      <c r="F53" s="3">
        <f>F34</f>
        <v>314285.71428571426</v>
      </c>
      <c r="H53" s="2">
        <f>D53*F53</f>
        <v>1100000</v>
      </c>
    </row>
    <row r="54" spans="1:16" x14ac:dyDescent="0.3">
      <c r="B54" t="s">
        <v>13</v>
      </c>
      <c r="D54" s="2">
        <v>4</v>
      </c>
      <c r="F54" s="3">
        <f>F35</f>
        <v>314285.71428571426</v>
      </c>
      <c r="H54" s="2">
        <f>D54*F54</f>
        <v>1257142.857142857</v>
      </c>
      <c r="N54" t="s">
        <v>63</v>
      </c>
      <c r="P54" t="s">
        <v>64</v>
      </c>
    </row>
    <row r="55" spans="1:16" x14ac:dyDescent="0.3">
      <c r="B55" t="s">
        <v>14</v>
      </c>
      <c r="D55" s="2">
        <v>2</v>
      </c>
      <c r="F55" s="3">
        <f>F36</f>
        <v>157142.85714285713</v>
      </c>
      <c r="H55" s="2">
        <f>D55*F55</f>
        <v>314285.71428571426</v>
      </c>
      <c r="L55" t="s">
        <v>62</v>
      </c>
      <c r="N55">
        <v>0.05</v>
      </c>
      <c r="P55" s="2">
        <f>N55*H55</f>
        <v>15714.285714285714</v>
      </c>
    </row>
    <row r="57" spans="1:16" x14ac:dyDescent="0.3">
      <c r="A57" s="1" t="s">
        <v>56</v>
      </c>
    </row>
    <row r="58" spans="1:16" x14ac:dyDescent="0.3">
      <c r="A58" s="1"/>
      <c r="B58" t="s">
        <v>57</v>
      </c>
    </row>
    <row r="59" spans="1:16" x14ac:dyDescent="0.3">
      <c r="B59" t="s">
        <v>58</v>
      </c>
    </row>
    <row r="60" spans="1:16" x14ac:dyDescent="0.3">
      <c r="E60" s="1" t="s">
        <v>38</v>
      </c>
      <c r="H60" s="2">
        <f>SUM(H52:H55)</f>
        <v>4085714.2857142859</v>
      </c>
    </row>
    <row r="63" spans="1:16" ht="19.8" x14ac:dyDescent="0.4">
      <c r="A63" s="4" t="s">
        <v>43</v>
      </c>
      <c r="B63" s="5"/>
      <c r="C63" s="5"/>
      <c r="D63" s="5"/>
      <c r="E63" s="5"/>
      <c r="F63" s="5"/>
      <c r="G63" s="5"/>
      <c r="H63" s="5"/>
      <c r="I63" s="5"/>
    </row>
    <row r="65" spans="2:8" x14ac:dyDescent="0.3">
      <c r="B65" t="s">
        <v>44</v>
      </c>
      <c r="H65" s="2">
        <f>H60-H46</f>
        <v>361862.38571428554</v>
      </c>
    </row>
    <row r="66" spans="2:8" x14ac:dyDescent="0.3">
      <c r="B66" t="s">
        <v>70</v>
      </c>
      <c r="H66" s="2"/>
    </row>
    <row r="67" spans="2:8" x14ac:dyDescent="0.3">
      <c r="C67" t="s">
        <v>18</v>
      </c>
      <c r="H67" s="2">
        <f>28600+H39</f>
        <v>45500</v>
      </c>
    </row>
    <row r="68" spans="2:8" x14ac:dyDescent="0.3">
      <c r="C68" t="s">
        <v>71</v>
      </c>
      <c r="H68" s="2">
        <f>50000+H40</f>
        <v>95000</v>
      </c>
    </row>
    <row r="70" spans="2:8" x14ac:dyDescent="0.3">
      <c r="B70" t="s">
        <v>78</v>
      </c>
      <c r="H70" s="2">
        <f>SUM(H65:H68)</f>
        <v>502362.38571428554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zoomScale="90" zoomScaleNormal="90" workbookViewId="0">
      <selection activeCell="L70" sqref="L70"/>
    </sheetView>
  </sheetViews>
  <sheetFormatPr defaultRowHeight="14.4" x14ac:dyDescent="0.3"/>
  <cols>
    <col min="1" max="1" width="15.6640625" bestFit="1" customWidth="1"/>
    <col min="2" max="2" width="23.6640625" bestFit="1" customWidth="1"/>
    <col min="3" max="3" width="19.88671875" customWidth="1"/>
    <col min="4" max="4" width="21.109375" customWidth="1"/>
    <col min="5" max="5" width="14.21875" bestFit="1" customWidth="1"/>
    <col min="6" max="6" width="16.44140625" bestFit="1" customWidth="1"/>
    <col min="7" max="7" width="12.109375" customWidth="1"/>
    <col min="8" max="8" width="19.44140625" customWidth="1"/>
    <col min="16" max="16" width="20" customWidth="1"/>
  </cols>
  <sheetData>
    <row r="1" spans="1:9" ht="19.8" x14ac:dyDescent="0.4">
      <c r="A1" s="4" t="s">
        <v>40</v>
      </c>
      <c r="B1" s="5"/>
      <c r="C1" s="5"/>
      <c r="D1" s="5"/>
      <c r="E1" s="5"/>
      <c r="F1" s="5"/>
      <c r="G1" s="5"/>
      <c r="H1" s="5"/>
      <c r="I1" s="5"/>
    </row>
    <row r="2" spans="1:9" x14ac:dyDescent="0.3">
      <c r="H2" s="1" t="s">
        <v>47</v>
      </c>
    </row>
    <row r="3" spans="1:9" x14ac:dyDescent="0.3">
      <c r="H3" t="s">
        <v>48</v>
      </c>
    </row>
    <row r="4" spans="1:9" x14ac:dyDescent="0.3">
      <c r="A4" s="1" t="s">
        <v>0</v>
      </c>
      <c r="F4" t="s">
        <v>49</v>
      </c>
      <c r="G4" t="s">
        <v>45</v>
      </c>
    </row>
    <row r="5" spans="1:9" x14ac:dyDescent="0.3">
      <c r="B5" t="s">
        <v>2</v>
      </c>
      <c r="F5" s="2">
        <v>13000</v>
      </c>
      <c r="G5">
        <v>5</v>
      </c>
      <c r="H5" s="2">
        <f>F5*G5</f>
        <v>65000</v>
      </c>
    </row>
    <row r="6" spans="1:9" x14ac:dyDescent="0.3">
      <c r="B6" t="s">
        <v>3</v>
      </c>
      <c r="H6" s="2"/>
    </row>
    <row r="7" spans="1:9" x14ac:dyDescent="0.3">
      <c r="C7" t="s">
        <v>17</v>
      </c>
      <c r="F7" s="2">
        <v>50000</v>
      </c>
      <c r="H7" s="2">
        <v>50000</v>
      </c>
    </row>
    <row r="8" spans="1:9" x14ac:dyDescent="0.3">
      <c r="C8" t="s">
        <v>18</v>
      </c>
      <c r="F8" s="2"/>
      <c r="H8" s="2">
        <v>80000</v>
      </c>
    </row>
    <row r="9" spans="1:9" x14ac:dyDescent="0.3">
      <c r="H9" s="2"/>
    </row>
    <row r="10" spans="1:9" x14ac:dyDescent="0.3">
      <c r="B10" t="s">
        <v>15</v>
      </c>
      <c r="H10" s="2">
        <v>500000</v>
      </c>
    </row>
    <row r="11" spans="1:9" x14ac:dyDescent="0.3">
      <c r="H11" s="2"/>
    </row>
    <row r="12" spans="1:9" x14ac:dyDescent="0.3">
      <c r="A12" s="1" t="s">
        <v>24</v>
      </c>
      <c r="D12" t="s">
        <v>26</v>
      </c>
      <c r="E12" t="s">
        <v>25</v>
      </c>
      <c r="H12" s="2"/>
    </row>
    <row r="13" spans="1:9" x14ac:dyDescent="0.3">
      <c r="B13" t="s">
        <v>7</v>
      </c>
      <c r="D13" s="2">
        <v>100</v>
      </c>
      <c r="E13">
        <v>50</v>
      </c>
      <c r="G13">
        <v>1</v>
      </c>
      <c r="H13" s="2">
        <f>D13*E13*G13</f>
        <v>5000</v>
      </c>
    </row>
    <row r="14" spans="1:9" x14ac:dyDescent="0.3">
      <c r="B14" t="s">
        <v>6</v>
      </c>
      <c r="D14" s="2">
        <v>150</v>
      </c>
      <c r="E14">
        <v>100</v>
      </c>
      <c r="G14">
        <v>3</v>
      </c>
      <c r="H14" s="2">
        <f>D14*E14*G14</f>
        <v>45000</v>
      </c>
    </row>
    <row r="15" spans="1:9" x14ac:dyDescent="0.3">
      <c r="B15" t="s">
        <v>29</v>
      </c>
      <c r="D15" s="2">
        <v>200</v>
      </c>
      <c r="E15">
        <v>10</v>
      </c>
      <c r="G15">
        <v>13</v>
      </c>
      <c r="H15" s="2">
        <f>D15*E15*G15</f>
        <v>26000</v>
      </c>
    </row>
    <row r="17" spans="1:8" x14ac:dyDescent="0.3">
      <c r="A17" s="1" t="s">
        <v>4</v>
      </c>
      <c r="D17" t="s">
        <v>27</v>
      </c>
      <c r="E17" t="s">
        <v>28</v>
      </c>
      <c r="H17" s="2"/>
    </row>
    <row r="18" spans="1:8" x14ac:dyDescent="0.3">
      <c r="B18" t="s">
        <v>50</v>
      </c>
      <c r="D18">
        <f>850000/15</f>
        <v>56666.666666666664</v>
      </c>
      <c r="E18" s="2">
        <v>1.3</v>
      </c>
      <c r="H18" s="2">
        <f>D18*E18</f>
        <v>73666.666666666672</v>
      </c>
    </row>
    <row r="19" spans="1:8" x14ac:dyDescent="0.3">
      <c r="D19" t="s">
        <v>51</v>
      </c>
      <c r="E19" s="2" t="s">
        <v>52</v>
      </c>
      <c r="H19" s="2"/>
    </row>
    <row r="20" spans="1:8" x14ac:dyDescent="0.3">
      <c r="B20" t="s">
        <v>59</v>
      </c>
      <c r="D20" s="2">
        <v>10000</v>
      </c>
      <c r="G20">
        <v>12</v>
      </c>
      <c r="H20" s="7">
        <f>D20*G20</f>
        <v>120000</v>
      </c>
    </row>
    <row r="21" spans="1:8" x14ac:dyDescent="0.3">
      <c r="B21" s="2" t="s">
        <v>61</v>
      </c>
      <c r="D21" s="2">
        <v>1500</v>
      </c>
      <c r="E21" s="2"/>
      <c r="G21">
        <v>22</v>
      </c>
      <c r="H21" s="7">
        <f>D21*G21</f>
        <v>33000</v>
      </c>
    </row>
    <row r="22" spans="1:8" x14ac:dyDescent="0.3">
      <c r="B22" t="s">
        <v>5</v>
      </c>
      <c r="F22" s="2">
        <v>1500</v>
      </c>
      <c r="G22">
        <v>13</v>
      </c>
      <c r="H22" s="2">
        <f>F22*G22</f>
        <v>19500</v>
      </c>
    </row>
    <row r="23" spans="1:8" x14ac:dyDescent="0.3">
      <c r="H23" s="2"/>
    </row>
    <row r="24" spans="1:8" x14ac:dyDescent="0.3">
      <c r="A24" s="1" t="s">
        <v>9</v>
      </c>
      <c r="D24" t="s">
        <v>31</v>
      </c>
      <c r="E24" t="s">
        <v>32</v>
      </c>
      <c r="F24" t="s">
        <v>30</v>
      </c>
      <c r="H24" s="2"/>
    </row>
    <row r="25" spans="1:8" x14ac:dyDescent="0.3">
      <c r="B25" t="s">
        <v>8</v>
      </c>
      <c r="D25" s="2">
        <v>3500</v>
      </c>
      <c r="E25">
        <v>9</v>
      </c>
      <c r="F25">
        <v>33</v>
      </c>
      <c r="H25" s="2">
        <f>D25*E25*F25</f>
        <v>1039500</v>
      </c>
    </row>
    <row r="26" spans="1:8" x14ac:dyDescent="0.3">
      <c r="B26" t="s">
        <v>7</v>
      </c>
      <c r="D26" s="2">
        <v>3000</v>
      </c>
      <c r="E26">
        <v>9</v>
      </c>
      <c r="F26">
        <v>20</v>
      </c>
      <c r="H26" s="2">
        <f>D26*E26*F26</f>
        <v>540000</v>
      </c>
    </row>
    <row r="27" spans="1:8" x14ac:dyDescent="0.3">
      <c r="B27" t="s">
        <v>16</v>
      </c>
      <c r="D27" s="2"/>
      <c r="H27" s="2">
        <v>35000</v>
      </c>
    </row>
    <row r="28" spans="1:8" x14ac:dyDescent="0.3">
      <c r="A28" s="1" t="s">
        <v>10</v>
      </c>
      <c r="H28" s="2"/>
    </row>
    <row r="29" spans="1:8" x14ac:dyDescent="0.3">
      <c r="B29" t="s">
        <v>19</v>
      </c>
      <c r="H29" s="2">
        <v>35000</v>
      </c>
    </row>
    <row r="30" spans="1:8" x14ac:dyDescent="0.3">
      <c r="H30" s="2"/>
    </row>
    <row r="31" spans="1:8" x14ac:dyDescent="0.3">
      <c r="B31" t="s">
        <v>20</v>
      </c>
      <c r="C31" t="s">
        <v>37</v>
      </c>
      <c r="D31">
        <v>3300000</v>
      </c>
      <c r="H31" s="2"/>
    </row>
    <row r="32" spans="1:8" x14ac:dyDescent="0.3">
      <c r="D32" t="s">
        <v>35</v>
      </c>
      <c r="F32" t="s">
        <v>36</v>
      </c>
    </row>
    <row r="33" spans="1:8" x14ac:dyDescent="0.3">
      <c r="C33" t="s">
        <v>11</v>
      </c>
      <c r="D33" s="2">
        <v>0.96897999999999995</v>
      </c>
      <c r="F33" s="3">
        <f>D31*(3/7)</f>
        <v>1414285.7142857143</v>
      </c>
      <c r="H33" s="2">
        <f>D33*F33</f>
        <v>1370414.5714285714</v>
      </c>
    </row>
    <row r="34" spans="1:8" x14ac:dyDescent="0.3">
      <c r="C34" t="s">
        <v>12</v>
      </c>
      <c r="D34" s="2">
        <v>1.0159800000000001</v>
      </c>
      <c r="F34" s="3">
        <f>D31*(2/7)</f>
        <v>942857.14285714284</v>
      </c>
      <c r="H34" s="2">
        <f>D34*F34</f>
        <v>957924.00000000012</v>
      </c>
    </row>
    <row r="35" spans="1:8" x14ac:dyDescent="0.3">
      <c r="C35" t="s">
        <v>13</v>
      </c>
      <c r="D35" s="2">
        <v>1.06298</v>
      </c>
      <c r="F35" s="3">
        <f>D31*(2/7)</f>
        <v>942857.14285714284</v>
      </c>
      <c r="H35" s="2">
        <f>D35*F35</f>
        <v>1002238.2857142857</v>
      </c>
    </row>
    <row r="36" spans="1:8" x14ac:dyDescent="0.3">
      <c r="C36" t="s">
        <v>14</v>
      </c>
      <c r="D36" s="2"/>
      <c r="F36" s="3">
        <f>D31*(1/7)</f>
        <v>471428.57142857142</v>
      </c>
      <c r="H36" s="2">
        <f>D36*F36</f>
        <v>0</v>
      </c>
    </row>
    <row r="37" spans="1:8" x14ac:dyDescent="0.3">
      <c r="B37" t="s">
        <v>65</v>
      </c>
      <c r="D37">
        <v>0.06</v>
      </c>
      <c r="F37" s="3"/>
      <c r="H37" s="2">
        <f>D37*H60</f>
        <v>735428.57142857148</v>
      </c>
    </row>
    <row r="38" spans="1:8" x14ac:dyDescent="0.3">
      <c r="A38" s="1" t="s">
        <v>22</v>
      </c>
      <c r="H38" s="2"/>
    </row>
    <row r="39" spans="1:8" x14ac:dyDescent="0.3">
      <c r="B39" t="s">
        <v>23</v>
      </c>
      <c r="F39" s="2">
        <v>1300</v>
      </c>
      <c r="G39">
        <v>25</v>
      </c>
      <c r="H39" s="2">
        <f>F39*G39</f>
        <v>32500</v>
      </c>
    </row>
    <row r="40" spans="1:8" x14ac:dyDescent="0.3">
      <c r="B40" t="s">
        <v>55</v>
      </c>
      <c r="F40" s="2">
        <v>5000</v>
      </c>
      <c r="G40">
        <v>15</v>
      </c>
      <c r="H40" s="2">
        <f>F40*G40</f>
        <v>75000</v>
      </c>
    </row>
    <row r="41" spans="1:8" x14ac:dyDescent="0.3">
      <c r="A41" s="1" t="s">
        <v>33</v>
      </c>
      <c r="E41" t="s">
        <v>63</v>
      </c>
      <c r="H41" s="2"/>
    </row>
    <row r="42" spans="1:8" x14ac:dyDescent="0.3">
      <c r="B42" t="s">
        <v>34</v>
      </c>
      <c r="E42">
        <v>0.95</v>
      </c>
      <c r="H42" s="2">
        <f>E42*H55</f>
        <v>895714.28571428568</v>
      </c>
    </row>
    <row r="43" spans="1:8" x14ac:dyDescent="0.3">
      <c r="A43" s="1" t="s">
        <v>79</v>
      </c>
      <c r="E43" t="s">
        <v>63</v>
      </c>
      <c r="H43" s="2"/>
    </row>
    <row r="44" spans="1:8" x14ac:dyDescent="0.3">
      <c r="B44" t="s">
        <v>80</v>
      </c>
      <c r="E44">
        <v>0.05</v>
      </c>
      <c r="H44" s="2">
        <f>E44*(SUM(H4:H37)+H42)</f>
        <v>381419.31904761906</v>
      </c>
    </row>
    <row r="45" spans="1:8" x14ac:dyDescent="0.3">
      <c r="H45" s="2"/>
    </row>
    <row r="46" spans="1:8" x14ac:dyDescent="0.3">
      <c r="E46" s="1" t="s">
        <v>38</v>
      </c>
      <c r="H46" s="2">
        <f>SUM(H4:H45)</f>
        <v>8117305.6999999993</v>
      </c>
    </row>
    <row r="47" spans="1:8" x14ac:dyDescent="0.3">
      <c r="E47" t="s">
        <v>39</v>
      </c>
      <c r="H47" s="2">
        <f>H46/D31</f>
        <v>2.4597896060606059</v>
      </c>
    </row>
    <row r="48" spans="1:8" x14ac:dyDescent="0.3">
      <c r="H48" s="2"/>
    </row>
    <row r="49" spans="1:16" ht="19.8" x14ac:dyDescent="0.4">
      <c r="A49" s="4" t="s">
        <v>41</v>
      </c>
      <c r="B49" s="5"/>
      <c r="C49" s="5"/>
      <c r="D49" s="5"/>
      <c r="E49" s="5"/>
      <c r="F49" s="5"/>
      <c r="G49" s="5"/>
      <c r="H49" s="6"/>
      <c r="I49" s="5"/>
    </row>
    <row r="51" spans="1:16" x14ac:dyDescent="0.3">
      <c r="A51" s="1" t="s">
        <v>10</v>
      </c>
      <c r="D51" t="s">
        <v>42</v>
      </c>
      <c r="F51" t="s">
        <v>36</v>
      </c>
    </row>
    <row r="52" spans="1:16" x14ac:dyDescent="0.3">
      <c r="B52" t="s">
        <v>11</v>
      </c>
      <c r="D52" s="2">
        <v>3</v>
      </c>
      <c r="F52" s="3">
        <f>F33</f>
        <v>1414285.7142857143</v>
      </c>
      <c r="H52" s="2">
        <f>D52*F52</f>
        <v>4242857.1428571427</v>
      </c>
    </row>
    <row r="53" spans="1:16" x14ac:dyDescent="0.3">
      <c r="B53" t="s">
        <v>12</v>
      </c>
      <c r="D53" s="2">
        <v>3.5</v>
      </c>
      <c r="F53" s="3">
        <f>F34</f>
        <v>942857.14285714284</v>
      </c>
      <c r="H53" s="2">
        <f>D53*F53</f>
        <v>3300000</v>
      </c>
    </row>
    <row r="54" spans="1:16" x14ac:dyDescent="0.3">
      <c r="B54" t="s">
        <v>13</v>
      </c>
      <c r="D54" s="2">
        <v>4</v>
      </c>
      <c r="F54" s="3">
        <f>F35</f>
        <v>942857.14285714284</v>
      </c>
      <c r="H54" s="2">
        <f>D54*F54</f>
        <v>3771428.5714285714</v>
      </c>
      <c r="N54" t="s">
        <v>63</v>
      </c>
      <c r="P54" t="s">
        <v>64</v>
      </c>
    </row>
    <row r="55" spans="1:16" x14ac:dyDescent="0.3">
      <c r="B55" t="s">
        <v>14</v>
      </c>
      <c r="D55" s="2">
        <v>2</v>
      </c>
      <c r="F55" s="3">
        <f>F36</f>
        <v>471428.57142857142</v>
      </c>
      <c r="H55" s="2">
        <f>D55*F55</f>
        <v>942857.14285714284</v>
      </c>
      <c r="L55" t="s">
        <v>62</v>
      </c>
      <c r="N55">
        <v>0.05</v>
      </c>
      <c r="P55" s="2">
        <f>N55*H55</f>
        <v>47142.857142857145</v>
      </c>
    </row>
    <row r="57" spans="1:16" x14ac:dyDescent="0.3">
      <c r="A57" s="1" t="s">
        <v>56</v>
      </c>
    </row>
    <row r="58" spans="1:16" x14ac:dyDescent="0.3">
      <c r="A58" s="1"/>
      <c r="B58" t="s">
        <v>57</v>
      </c>
    </row>
    <row r="59" spans="1:16" x14ac:dyDescent="0.3">
      <c r="B59" t="s">
        <v>58</v>
      </c>
    </row>
    <row r="60" spans="1:16" x14ac:dyDescent="0.3">
      <c r="E60" s="1" t="s">
        <v>38</v>
      </c>
      <c r="H60" s="2">
        <f>SUM(H52:H55)</f>
        <v>12257142.857142858</v>
      </c>
    </row>
    <row r="63" spans="1:16" ht="19.8" x14ac:dyDescent="0.4">
      <c r="A63" s="4" t="s">
        <v>43</v>
      </c>
      <c r="B63" s="5"/>
      <c r="C63" s="5"/>
      <c r="D63" s="5"/>
      <c r="E63" s="5"/>
      <c r="F63" s="5"/>
      <c r="G63" s="5"/>
      <c r="H63" s="5"/>
      <c r="I63" s="5"/>
    </row>
    <row r="65" spans="2:8" x14ac:dyDescent="0.3">
      <c r="B65" t="s">
        <v>44</v>
      </c>
      <c r="H65" s="2">
        <f>H60-H46</f>
        <v>4139837.157142859</v>
      </c>
    </row>
    <row r="66" spans="2:8" x14ac:dyDescent="0.3">
      <c r="B66" t="s">
        <v>70</v>
      </c>
      <c r="H66" s="2"/>
    </row>
    <row r="67" spans="2:8" x14ac:dyDescent="0.3">
      <c r="C67" t="s">
        <v>18</v>
      </c>
      <c r="H67" s="2">
        <f>28600+H39</f>
        <v>61100</v>
      </c>
    </row>
    <row r="68" spans="2:8" x14ac:dyDescent="0.3">
      <c r="C68" t="s">
        <v>71</v>
      </c>
      <c r="H68" s="2">
        <f>50000+H40</f>
        <v>125000</v>
      </c>
    </row>
    <row r="70" spans="2:8" x14ac:dyDescent="0.3">
      <c r="B70" t="s">
        <v>78</v>
      </c>
      <c r="H70" s="2">
        <f>SUM(H65:H68)</f>
        <v>4325937.157142859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Start, jaar 1 en 2</vt:lpstr>
      <vt:lpstr>Jaar 3 en 4</vt:lpstr>
      <vt:lpstr>Jaar 5</vt:lpstr>
      <vt:lpstr>25 stations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Thalisha Broers</dc:creator>
  <cp:lastModifiedBy>Thalisha Broers</cp:lastModifiedBy>
  <dcterms:created xsi:type="dcterms:W3CDTF">2017-06-21T14:19:20Z</dcterms:created>
  <dcterms:modified xsi:type="dcterms:W3CDTF">2017-06-23T11:13:55Z</dcterms:modified>
</cp:coreProperties>
</file>