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66925"/>
  <xr:revisionPtr revIDLastSave="0" documentId="8_{3FA35C6C-0C2C-45A8-B668-C9472D6DCC0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G4" i="1"/>
  <c r="D10" i="1"/>
  <c r="G2" i="1" s="1"/>
  <c r="A2" i="1"/>
  <c r="G3" i="1" l="1"/>
  <c r="H10" i="1"/>
  <c r="H11" i="1" s="1"/>
  <c r="E13" i="1" l="1"/>
  <c r="E14" i="1" s="1"/>
  <c r="B34" i="1"/>
  <c r="C34" i="1" l="1"/>
  <c r="A4" i="1"/>
  <c r="E4" i="1"/>
  <c r="F10" i="1" s="1"/>
  <c r="B10" i="1" l="1"/>
  <c r="B11" i="1"/>
  <c r="B13" i="1" l="1"/>
  <c r="G23" i="1"/>
  <c r="D23" i="1" l="1"/>
  <c r="G29" i="1"/>
</calcChain>
</file>

<file path=xl/sharedStrings.xml><?xml version="1.0" encoding="utf-8"?>
<sst xmlns="http://schemas.openxmlformats.org/spreadsheetml/2006/main" count="66" uniqueCount="58">
  <si>
    <t>Monthly Expenses</t>
  </si>
  <si>
    <t>sources</t>
  </si>
  <si>
    <t>Revenue/customer</t>
  </si>
  <si>
    <t xml:space="preserve">Starting Costs </t>
  </si>
  <si>
    <t>Customer proportional Expenses Monthly</t>
  </si>
  <si>
    <t>source</t>
  </si>
  <si>
    <t>Customer proportional Expenses</t>
  </si>
  <si>
    <t>Programmers (3)</t>
  </si>
  <si>
    <t xml:space="preserve">Subscriptions (approximated bettween different pricing tiers) </t>
  </si>
  <si>
    <t>Initial marketing</t>
  </si>
  <si>
    <t>Payment processing a(veraged across common payment systems via adyen)</t>
  </si>
  <si>
    <t>Server costs (azure cloud web app estimate eu west)</t>
  </si>
  <si>
    <t>Vitamin commision(10% of average monthy expenditure including non consumers)</t>
  </si>
  <si>
    <t>Inhouse servers (2 units for data segregation</t>
  </si>
  <si>
    <t>Customer aquisition (10% of revenues per customer for ongoing marketing)</t>
  </si>
  <si>
    <t>production (1000 units)</t>
  </si>
  <si>
    <t>Initial product run 10000 units</t>
  </si>
  <si>
    <t>Contracted dietician/proffesionals (1/480 premium subscibers estimated at 1/1200 customers)</t>
  </si>
  <si>
    <t xml:space="preserve">Plastic molds (usable for 1000000 shots) </t>
  </si>
  <si>
    <t>Total:</t>
  </si>
  <si>
    <t>After Error Error margin 1.2x for non production costs</t>
  </si>
  <si>
    <t xml:space="preserve">Net revenues: </t>
  </si>
  <si>
    <t>Customers to break even on a monthly basis</t>
  </si>
  <si>
    <t>Net revenue per customer per month not including startup costs</t>
  </si>
  <si>
    <t>Time to break even (@1000 customers aquired per month)</t>
  </si>
  <si>
    <t xml:space="preserve">Post tax income per customer per month lower bracket &lt;13000 subscribers </t>
  </si>
  <si>
    <t xml:space="preserve">Subscriber months to return initial investment </t>
  </si>
  <si>
    <t>Required Investment: Startup+6 months (3 for development 3 to get to break even customers</t>
  </si>
  <si>
    <t>Months to return initial investment @1000 subscribers added per month</t>
  </si>
  <si>
    <t>Rough cost estimate for 10000 units  </t>
  </si>
  <si>
    <t xml:space="preserve">Computer: </t>
  </si>
  <si>
    <t>Load cell x6000:</t>
  </si>
  <si>
    <t xml:space="preserve">Company value DCF method 2 years revenues: 
</t>
  </si>
  <si>
    <t xml:space="preserve">Plastics w/injection moulding: </t>
  </si>
  <si>
    <t>Wood Cover vynil 20e/m^2:</t>
  </si>
  <si>
    <t>Equity stake for initial investment:</t>
  </si>
  <si>
    <t xml:space="preserve">Assembly: </t>
  </si>
  <si>
    <t>650000 for 20% is the deal</t>
  </si>
  <si>
    <t xml:space="preserve">Fasteners: </t>
  </si>
  <si>
    <t>Logistics:</t>
  </si>
  <si>
    <t>Error margin 20%:</t>
  </si>
  <si>
    <t xml:space="preserve">Total: </t>
  </si>
  <si>
    <t>Costing references</t>
  </si>
  <si>
    <t>Load cell:</t>
  </si>
  <si>
    <t>https://dutch.alibaba.com/product-detail/Platte-Keuken-Visweegschaal-5Kg-15Kg-Mini-62012570630.html?spm=a2700.pccps_detail.0.0.3d9513a0ixAPYE</t>
  </si>
  <si>
    <t xml:space="preserve">Plastics : </t>
  </si>
  <si>
    <t>https://www.plasticportal.eu/en/cenove-reporty/</t>
  </si>
  <si>
    <t>https://www.huboo.com/</t>
  </si>
  <si>
    <t>Fastners</t>
  </si>
  <si>
    <t>https://dutch.alibaba.com/p-detail/Stainless-1600389219931.html?spm=a2700.galleryofferlist.normal_offer.d_title.497b532feq5QH9</t>
  </si>
  <si>
    <t>Servers:</t>
  </si>
  <si>
    <t>https://www.dell.com/en-us/shop/dell-poweredge-servers/sc/servers</t>
  </si>
  <si>
    <t>Cloud:</t>
  </si>
  <si>
    <t>https://azure.microsoft.com/en-us/pricing/?ef_id=_k_CjwKCAjwwb6lBhBJEiwAbuVUSq8JM-v6frikoNxdv_8A1agSTUiYXJNp_90Sz2qdC9iMEHDuFuYtlBoCuukQAvD_BwE_k_&amp;OCID=AIDcmmy4pl1olr_SEM__k_CjwKCAjwwb6lBhBJEiwAbuVUSq8JM-v6frikoNxdv_8A1agSTUiYXJNp_90Sz2qdC9iMEHDuFuYtlBoCuukQAvD_BwE_k_&amp;gclid=CjwKCAjwwb6lBhBJEiwAbuVUSq8JM-v6frikoNxdv_8A1agSTUiYXJNp_90Sz2qdC9iMEHDuFuYtlBoCuukQAvD_BwE</t>
  </si>
  <si>
    <t>Plastic Moulds:</t>
  </si>
  <si>
    <t>https://rexplastics.com/plastic-injection-molds/how-much-do-plastic-injection-molds-cost</t>
  </si>
  <si>
    <t>Payment Processing</t>
  </si>
  <si>
    <t>https://www.adyen.com/pricing?utm_source=Google&amp;utm_medium=Online%20Advertising&amp;utm_campaign=2023_05_OA_BE_BRANDEDADYEN_GSN_CONS_CON_SEARCH_%5BEN%5D_ECPC&amp;gad=1&amp;gclid=CjwKCAjwwb6lBhBJEiwAbuVUSnXz0zfoVY88MrQDrYcs_5VjpjuDcfiVAkJNeKLjp5mRlpDmMvPPaBoCHDYQAvD_BwE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</si>
</sst>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scheme val="minor"/>
    </font>
    <font>
      <sz val="11"/>
      <name val="Calibri"/>
      <charset val="1"/>
    </font>
    <font>
      <b/>
      <sz val="11"/>
      <color rgb="FF000000"/>
      <name val="Calibri"/>
    </font>
    <font>
      <sz val="11"/>
      <color rgb="FF5F8CED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 readingOrder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3" fontId="10" fillId="0" borderId="0" xfId="0" applyNumberFormat="1" applyFont="1"/>
    <xf numFmtId="0" fontId="0" fillId="0" borderId="0" xfId="0" applyAlignment="1">
      <alignment wrapText="1"/>
    </xf>
    <xf numFmtId="0" fontId="1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ure.microsoft.com/en-us/pricing/?ef_id=_k_CjwKCAjwwb6lBhBJEiwAbuVUSq8JM-v6frikoNxdv_8A1agSTUiYXJNp_90Sz2qdC9iMEHDuFuYtlBoCuukQAvD_BwE_k_&amp;OCID=AIDcmmy4pl1olr_SEM__k_CjwKCAjwwb6lBhBJEiwAbuVUSq8JM-v6frikoNxdv_8A1agSTUiYXJNp_90Sz2qdC9iMEHDuFuYtlBoCuukQAvD_BwE_k_&amp;gclid=CjwKCAjwwb6lBhBJEiwAbuVUSq8JM-v6frikoNxdv_8A1agSTUiYXJNp_90Sz2qdC9iMEHDuFuYtlBoCuukQAvD_BwE" TargetMode="External"/><Relationship Id="rId3" Type="http://schemas.openxmlformats.org/officeDocument/2006/relationships/hyperlink" Target="https://www.huboo.com/" TargetMode="External"/><Relationship Id="rId7" Type="http://schemas.openxmlformats.org/officeDocument/2006/relationships/hyperlink" Target="https://www.adyen.com/pricing?utm_source=Google&amp;utm_medium=Online%20Advertising&amp;utm_campaign=2023_05_OA_BE_BRANDEDADYEN_GSN_CONS_CON_SEARCH_%5BEN%5D_ECPC&amp;gad=1&amp;gclid=CjwKCAjwwb6lBhBJEiwAbuVUSnXz0zfoVY88MrQDrYcs_5VjpjuDcfiVAkJNeKLjp5mRlpDmMvPPaBoCHDYQAvD_BwE" TargetMode="External"/><Relationship Id="rId2" Type="http://schemas.openxmlformats.org/officeDocument/2006/relationships/hyperlink" Target="https://www.plasticportal.eu/en/cenove-reporty/" TargetMode="External"/><Relationship Id="rId1" Type="http://schemas.openxmlformats.org/officeDocument/2006/relationships/hyperlink" Target="https://dutch.alibaba.com/product-detail/Platte-Keuken-Visweegschaal-5Kg-15Kg-Mini-62012570630.html?spm=a2700.pccps_detail.0.0.3d9513a0ixAPYE" TargetMode="External"/><Relationship Id="rId6" Type="http://schemas.openxmlformats.org/officeDocument/2006/relationships/hyperlink" Target="https://www.dell.com/en-us/shop/dell-poweredge-servers/sc/servers" TargetMode="External"/><Relationship Id="rId5" Type="http://schemas.openxmlformats.org/officeDocument/2006/relationships/hyperlink" Target="https://rexplastics.com/plastic-injection-molds/how-much-do-plastic-injection-molds-cost" TargetMode="External"/><Relationship Id="rId4" Type="http://schemas.openxmlformats.org/officeDocument/2006/relationships/hyperlink" Target="https://dutch.alibaba.com/p-detail/Stainless-1600389219931.html?spm=a2700.galleryofferlist.normal_offer.d_title.497b532feq5QH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16" workbookViewId="0">
      <selection activeCell="B45" sqref="B45"/>
    </sheetView>
  </sheetViews>
  <sheetFormatPr defaultRowHeight="15"/>
  <cols>
    <col min="1" max="1" width="53.85546875" bestFit="1" customWidth="1"/>
    <col min="2" max="2" width="48.140625" bestFit="1" customWidth="1"/>
    <col min="3" max="3" width="66.5703125" bestFit="1" customWidth="1"/>
    <col min="4" max="4" width="75.42578125" bestFit="1" customWidth="1"/>
    <col min="5" max="5" width="14" bestFit="1" customWidth="1"/>
    <col min="6" max="6" width="84.7109375" bestFit="1" customWidth="1"/>
    <col min="7" max="7" width="39.28515625" bestFit="1" customWidth="1"/>
    <col min="8" max="8" width="86.28515625" bestFit="1" customWidth="1"/>
    <col min="9" max="9" width="30.85546875" bestFit="1" customWidth="1"/>
    <col min="10" max="10" width="7" bestFit="1" customWidth="1"/>
  </cols>
  <sheetData>
    <row r="1" spans="1:10">
      <c r="A1" s="1" t="s">
        <v>0</v>
      </c>
      <c r="B1" s="6" t="s">
        <v>1</v>
      </c>
      <c r="C1" s="3" t="s">
        <v>2</v>
      </c>
      <c r="D1" s="5" t="s">
        <v>1</v>
      </c>
      <c r="E1" s="2" t="s">
        <v>3</v>
      </c>
      <c r="F1" s="5" t="s">
        <v>1</v>
      </c>
      <c r="G1" s="2" t="s">
        <v>4</v>
      </c>
      <c r="H1" s="5" t="s">
        <v>5</v>
      </c>
      <c r="I1" s="3" t="s">
        <v>6</v>
      </c>
      <c r="J1" t="s">
        <v>5</v>
      </c>
    </row>
    <row r="2" spans="1:10">
      <c r="A2">
        <f>(4950*3)</f>
        <v>14850</v>
      </c>
      <c r="B2" t="s">
        <v>7</v>
      </c>
      <c r="C2">
        <v>24.75</v>
      </c>
      <c r="D2" t="s">
        <v>8</v>
      </c>
      <c r="E2">
        <v>60000</v>
      </c>
      <c r="F2" t="s">
        <v>9</v>
      </c>
      <c r="G2">
        <f>1+(D10*0.04)</f>
        <v>2.1219999999999999</v>
      </c>
      <c r="H2" t="s">
        <v>10</v>
      </c>
    </row>
    <row r="3" spans="1:10">
      <c r="A3">
        <v>10000</v>
      </c>
      <c r="B3" t="s">
        <v>11</v>
      </c>
      <c r="C3">
        <v>3.3</v>
      </c>
      <c r="D3" t="s">
        <v>12</v>
      </c>
      <c r="E3">
        <v>4000</v>
      </c>
      <c r="F3" t="s">
        <v>13</v>
      </c>
      <c r="G3">
        <f>(D10*0.1)</f>
        <v>2.8050000000000002</v>
      </c>
      <c r="H3" t="s">
        <v>14</v>
      </c>
    </row>
    <row r="4" spans="1:10">
      <c r="A4">
        <f>B34/10</f>
        <v>24198.880400000398</v>
      </c>
      <c r="B4" t="s">
        <v>15</v>
      </c>
      <c r="E4">
        <f>B34</f>
        <v>241988.80400000399</v>
      </c>
      <c r="F4" t="s">
        <v>16</v>
      </c>
      <c r="G4">
        <f>3500*1/1200</f>
        <v>2.9166666666666665</v>
      </c>
      <c r="H4" s="4" t="s">
        <v>17</v>
      </c>
    </row>
    <row r="5" spans="1:10">
      <c r="E5">
        <v>60000</v>
      </c>
      <c r="F5" t="s">
        <v>18</v>
      </c>
    </row>
    <row r="10" spans="1:10">
      <c r="A10" t="s">
        <v>19</v>
      </c>
      <c r="B10">
        <f>SUM(A2:A4)</f>
        <v>49048.880400000402</v>
      </c>
      <c r="C10" t="s">
        <v>19</v>
      </c>
      <c r="D10">
        <f>SUM(C2,C3)</f>
        <v>28.05</v>
      </c>
      <c r="E10" t="s">
        <v>19</v>
      </c>
      <c r="F10">
        <f>SUM(E2:E5)</f>
        <v>365988.80400000396</v>
      </c>
      <c r="G10" t="s">
        <v>19</v>
      </c>
      <c r="H10">
        <f>SUM(G2:G5)</f>
        <v>7.8436666666666657</v>
      </c>
    </row>
    <row r="11" spans="1:10">
      <c r="A11" t="s">
        <v>20</v>
      </c>
      <c r="B11">
        <f>(A2+A3)*1.2+A4</f>
        <v>54018.880400000402</v>
      </c>
      <c r="H11">
        <f>H10*1.3</f>
        <v>10.196766666666665</v>
      </c>
    </row>
    <row r="12" spans="1:10">
      <c r="A12" s="2" t="s">
        <v>21</v>
      </c>
    </row>
    <row r="13" spans="1:10">
      <c r="A13" t="s">
        <v>22</v>
      </c>
      <c r="B13">
        <f>(B11/(D10-H11))</f>
        <v>3025.7197333069676</v>
      </c>
      <c r="D13" t="s">
        <v>23</v>
      </c>
      <c r="E13">
        <f>D10-H11</f>
        <v>17.853233333333336</v>
      </c>
    </row>
    <row r="14" spans="1:10">
      <c r="A14" t="s">
        <v>24</v>
      </c>
      <c r="D14" t="s">
        <v>25</v>
      </c>
      <c r="E14">
        <f>E13*0.85</f>
        <v>15.175248333333334</v>
      </c>
    </row>
    <row r="17" spans="1:7">
      <c r="D17" s="10"/>
    </row>
    <row r="23" spans="1:7">
      <c r="C23" t="s">
        <v>26</v>
      </c>
      <c r="D23">
        <f>(G23)/E14</f>
        <v>45475.505325613434</v>
      </c>
      <c r="F23" t="s">
        <v>27</v>
      </c>
      <c r="G23">
        <f>F10+6*B11</f>
        <v>690102.08640000643</v>
      </c>
    </row>
    <row r="24" spans="1:7">
      <c r="C24" t="s">
        <v>28</v>
      </c>
      <c r="D24">
        <v>9</v>
      </c>
    </row>
    <row r="25" spans="1:7">
      <c r="A25" s="9" t="s">
        <v>29</v>
      </c>
      <c r="B25" s="9" t="s">
        <v>29</v>
      </c>
    </row>
    <row r="26" spans="1:7">
      <c r="A26" s="8" t="s">
        <v>30</v>
      </c>
      <c r="B26" s="8">
        <v>6000</v>
      </c>
    </row>
    <row r="27" spans="1:7" ht="30.75">
      <c r="A27" s="8" t="s">
        <v>31</v>
      </c>
      <c r="B27" s="8">
        <v>90000</v>
      </c>
      <c r="F27" s="12" t="s">
        <v>32</v>
      </c>
      <c r="G27" s="4">
        <v>17218190.890000001</v>
      </c>
    </row>
    <row r="28" spans="1:7">
      <c r="A28" s="8" t="s">
        <v>33</v>
      </c>
      <c r="B28" s="11">
        <v>3366.6666666699998</v>
      </c>
    </row>
    <row r="29" spans="1:7">
      <c r="A29" s="8" t="s">
        <v>34</v>
      </c>
      <c r="B29" s="8">
        <v>74</v>
      </c>
      <c r="F29" t="s">
        <v>35</v>
      </c>
      <c r="G29">
        <f>(G23/G27)*5</f>
        <v>0.20039912752994413</v>
      </c>
    </row>
    <row r="30" spans="1:7">
      <c r="A30" s="8" t="s">
        <v>36</v>
      </c>
      <c r="B30" s="8">
        <v>2216.67</v>
      </c>
      <c r="F30" t="s">
        <v>37</v>
      </c>
    </row>
    <row r="31" spans="1:7">
      <c r="A31" s="8" t="s">
        <v>38</v>
      </c>
      <c r="B31" s="8">
        <v>10000</v>
      </c>
    </row>
    <row r="32" spans="1:7">
      <c r="A32" s="8" t="s">
        <v>39</v>
      </c>
      <c r="B32" s="8">
        <v>90000</v>
      </c>
    </row>
    <row r="33" spans="1:3" ht="30.75">
      <c r="A33" s="8" t="s">
        <v>40</v>
      </c>
      <c r="B33" s="8">
        <f>0.2*SUM(B26:B32)</f>
        <v>40331.467333334003</v>
      </c>
    </row>
    <row r="34" spans="1:3">
      <c r="A34" s="7" t="s">
        <v>41</v>
      </c>
      <c r="B34" s="8">
        <f>SUM(B26:B33)</f>
        <v>241988.80400000399</v>
      </c>
      <c r="C34">
        <f>B34/10000</f>
        <v>24.198880400000398</v>
      </c>
    </row>
    <row r="39" spans="1:3">
      <c r="A39" s="2" t="s">
        <v>42</v>
      </c>
    </row>
    <row r="40" spans="1:3">
      <c r="A40" t="s">
        <v>43</v>
      </c>
      <c r="B40" s="13" t="s">
        <v>44</v>
      </c>
    </row>
    <row r="41" spans="1:3">
      <c r="A41" t="s">
        <v>45</v>
      </c>
      <c r="B41" s="13" t="s">
        <v>46</v>
      </c>
    </row>
    <row r="42" spans="1:3">
      <c r="A42" t="s">
        <v>39</v>
      </c>
      <c r="B42" s="13" t="s">
        <v>47</v>
      </c>
    </row>
    <row r="43" spans="1:3">
      <c r="A43" t="s">
        <v>48</v>
      </c>
      <c r="B43" s="13" t="s">
        <v>49</v>
      </c>
    </row>
    <row r="44" spans="1:3">
      <c r="A44" t="s">
        <v>50</v>
      </c>
      <c r="B44" s="13" t="s">
        <v>51</v>
      </c>
    </row>
    <row r="45" spans="1:3">
      <c r="A45" t="s">
        <v>52</v>
      </c>
      <c r="B45" s="13" t="s">
        <v>53</v>
      </c>
    </row>
    <row r="46" spans="1:3">
      <c r="A46" t="s">
        <v>54</v>
      </c>
      <c r="B46" s="13" t="s">
        <v>55</v>
      </c>
    </row>
    <row r="47" spans="1:3">
      <c r="A47" t="s">
        <v>56</v>
      </c>
      <c r="B47" s="13" t="s">
        <v>57</v>
      </c>
    </row>
  </sheetData>
  <hyperlinks>
    <hyperlink ref="B40" r:id="rId1" xr:uid="{4D9336C3-B96E-464D-91D3-DBAB546E6A16}"/>
    <hyperlink ref="B41" r:id="rId2" xr:uid="{2C92617B-2297-43FD-B607-5A543137D643}"/>
    <hyperlink ref="B42" r:id="rId3" xr:uid="{4E606B1D-F1DC-4467-8D6F-8023AA49AB74}"/>
    <hyperlink ref="B43" r:id="rId4" xr:uid="{96DB176D-E3AC-4971-A4FB-A8ACC4C45F66}"/>
    <hyperlink ref="B46" r:id="rId5" xr:uid="{BC3EE7A8-1BB1-4ABA-B7EC-E0DC9F59BD2B}"/>
    <hyperlink ref="B44" r:id="rId6" xr:uid="{3E280825-44F6-41A4-9661-CF26CCCF8125}"/>
    <hyperlink ref="B47" r:id="rId7" display="https://www.adyen.com/pricing?utm_source=Google&amp;utm_medium=Online%20Advertising&amp;utm_campaign=2023_05_OA_BE_BRANDEDADYEN_GSN_CONS_CON_SEARCH_%5BEN%5D_ECPC&amp;gad=1&amp;gclid=CjwKCAjwwb6lBhBJEiwAbuVUSnXz0zfoVY88MrQDrYcs_5VjpjuDcfiVAkJNeKLjp5mRlpDmMvPPaBoCHDYQAvD_BwE" xr:uid="{824DE73A-FE60-481F-8C3A-466818924F5A}"/>
    <hyperlink ref="B45" r:id="rId8" display="https://azure.microsoft.com/en-us/pricing/?ef_id=_k_CjwKCAjwwb6lBhBJEiwAbuVUSq8JM-v6frikoNxdv_8A1agSTUiYXJNp_90Sz2qdC9iMEHDuFuYtlBoCuukQAvD_BwE_k_&amp;OCID=AIDcmmy4pl1olr_SEM__k_CjwKCAjwwb6lBhBJEiwAbuVUSq8JM-v6frikoNxdv_8A1agSTUiYXJNp_90Sz2qdC9iMEHDuFuYtlBoCuukQAvD_BwE_k_&amp;gclid=CjwKCAjwwb6lBhBJEiwAbuVUSq8JM-v6frikoNxdv_8A1agSTUiYXJNp_90Sz2qdC9iMEHDuFuYtlBoCuukQAvD_BwE" xr:uid="{E94B0025-0C39-4693-9960-00AF182AEB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2023-06-25T10:37:16Z</dcterms:created>
  <dcterms:modified xsi:type="dcterms:W3CDTF">2023-07-13T12:38:56Z</dcterms:modified>
  <cp:category/>
  <cp:contentStatus/>
</cp:coreProperties>
</file>